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7" yWindow="32767" windowWidth="28800" windowHeight="11925" activeTab="0"/>
  </bookViews>
  <sheets>
    <sheet name="Anketa" sheetId="1" r:id="rId1"/>
    <sheet name="Eilute" sheetId="2" state="hidden" r:id="rId2"/>
  </sheets>
  <definedNames>
    <definedName name="_xlnm.Print_Area" localSheetId="0">'Anketa'!$A$1:$M$80</definedName>
  </definedNames>
  <calcPr fullCalcOnLoad="1"/>
</workbook>
</file>

<file path=xl/sharedStrings.xml><?xml version="1.0" encoding="utf-8"?>
<sst xmlns="http://schemas.openxmlformats.org/spreadsheetml/2006/main" count="200" uniqueCount="148">
  <si>
    <t>Iš viso dalykų:</t>
  </si>
  <si>
    <t>Pamokų skaičius III klasėje:</t>
  </si>
  <si>
    <t>Klasė</t>
  </si>
  <si>
    <t>Pamokų skaičius IV klasėje:</t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</si>
  <si>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</si>
  <si>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</si>
  <si>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</si>
  <si>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</si>
  <si>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</si>
  <si>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</si>
  <si>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</si>
  <si>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</si>
  <si>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</si>
  <si>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</si>
  <si>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</si>
  <si>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</si>
  <si>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</si>
  <si>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Dorinis ugdymas</t>
  </si>
  <si>
    <t>Tikyba</t>
  </si>
  <si>
    <t>–</t>
  </si>
  <si>
    <t>Etika</t>
  </si>
  <si>
    <t>Anglų kalba</t>
  </si>
  <si>
    <t>Vokiečių kalba</t>
  </si>
  <si>
    <t>Istorija</t>
  </si>
  <si>
    <t>Geografija</t>
  </si>
  <si>
    <t>Matematika</t>
  </si>
  <si>
    <t>Gamtos mokslai</t>
  </si>
  <si>
    <t>Biologija</t>
  </si>
  <si>
    <t>Fizika</t>
  </si>
  <si>
    <t>Chemija</t>
  </si>
  <si>
    <t>Menai ir technologijos</t>
  </si>
  <si>
    <t>Dailė</t>
  </si>
  <si>
    <t>Muzika</t>
  </si>
  <si>
    <t>Teatras</t>
  </si>
  <si>
    <t>Kūno kultūra</t>
  </si>
  <si>
    <t>Rusų kalba</t>
  </si>
  <si>
    <t>Informacinės technologijos</t>
  </si>
  <si>
    <t>Prancūzų kalba</t>
  </si>
  <si>
    <t>Psichologija</t>
  </si>
  <si>
    <t>A kursu (išplėstiniu):</t>
  </si>
  <si>
    <t>B kursu (bendruoju):</t>
  </si>
  <si>
    <t>Data</t>
  </si>
  <si>
    <r>
      <t>Bendra-sis kursas</t>
    </r>
    <r>
      <rPr>
        <b/>
        <sz val="10"/>
        <rFont val="Times New Roman"/>
        <family val="1"/>
      </rPr>
      <t xml:space="preserve"> (B)</t>
    </r>
  </si>
  <si>
    <r>
      <t>PASIRENKAMIEJI DALYKAI</t>
    </r>
    <r>
      <rPr>
        <sz val="11"/>
        <rFont val="Times New Roman"/>
        <family val="1"/>
      </rPr>
      <t>, įskaičiuojami į dalykų ir pamokų skaičių</t>
    </r>
  </si>
  <si>
    <r>
      <t>MODULIAI</t>
    </r>
    <r>
      <rPr>
        <sz val="11"/>
        <rFont val="Times New Roman"/>
        <family val="1"/>
      </rPr>
      <t>, įskaičiuojami į pamokų skaičių, bet neįskaičiuojami į dalykų skaičių</t>
    </r>
  </si>
  <si>
    <t>Pavardė, vardas</t>
  </si>
  <si>
    <t>Branduolio dalykai</t>
  </si>
  <si>
    <t>Iš viso val.</t>
  </si>
  <si>
    <t>Matematika B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</si>
  <si>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</si>
  <si>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</si>
  <si>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</si>
  <si>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</si>
  <si>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</si>
  <si>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</si>
  <si>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</si>
  <si>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</si>
  <si>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</si>
  <si>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</si>
  <si>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</si>
  <si>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</si>
  <si>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</si>
  <si>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</si>
  <si>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</si>
  <si>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Vardas</t>
  </si>
  <si>
    <t>Pavardė</t>
  </si>
  <si>
    <t>Iš viso dalykų</t>
  </si>
  <si>
    <r>
      <t xml:space="preserve">Pasirinktą dalyką, kursą, modulį pažymėkite: </t>
    </r>
    <r>
      <rPr>
        <b/>
        <sz val="9"/>
        <rFont val="Wingdings 2"/>
        <family val="1"/>
      </rPr>
      <t>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.</t>
    </r>
  </si>
  <si>
    <t>Lietuvių kalba ir literatūra</t>
  </si>
  <si>
    <t>Užsienio kalba (I)</t>
  </si>
  <si>
    <t>Užsienio kalba (II)</t>
  </si>
  <si>
    <t>Tel. Nr.</t>
  </si>
  <si>
    <t>IT (programavimas) A</t>
  </si>
  <si>
    <t>IT (elektroninė leidyba) A</t>
  </si>
  <si>
    <t>Dorinis ugdy-mas</t>
  </si>
  <si>
    <t>*Keitimų stulpeliai pildomi, jei mokinys, pasibaigus pusmečiui, keičia individualų ugdymo planą.</t>
  </si>
  <si>
    <t>Mokinio parašas</t>
  </si>
  <si>
    <t>Šokis</t>
  </si>
  <si>
    <t>Turizmas ir mityba</t>
  </si>
  <si>
    <t>Tekstilė ir apranga</t>
  </si>
  <si>
    <t>Ekonomikos teorijos pagrindai</t>
  </si>
  <si>
    <t>Matematikos olimpiadinių uždavinių sprendimas</t>
  </si>
  <si>
    <t xml:space="preserve">Fizikos kokybinių, kiekybinių ir eksperimentinių uždavinių sprendimas </t>
  </si>
  <si>
    <t>Pogramavimo praktikumas</t>
  </si>
  <si>
    <t xml:space="preserve">Lietuvių kalba ir literatūra A </t>
  </si>
  <si>
    <t>Lietuvių kalba ir literatūra B</t>
  </si>
  <si>
    <t>Tėvų parašas</t>
  </si>
  <si>
    <t>Visuomenės mokslai</t>
  </si>
  <si>
    <t>Istorija A</t>
  </si>
  <si>
    <t>Matematika A</t>
  </si>
  <si>
    <t>Šokis B</t>
  </si>
  <si>
    <t>Turizmas ir mityba B</t>
  </si>
  <si>
    <t>Tekstilė ir apranga B</t>
  </si>
  <si>
    <t>Aerobika B B</t>
  </si>
  <si>
    <t>Pasirenkamieji dalykai</t>
  </si>
  <si>
    <t>Eksperimentas biologijoje. Struktūrinių užduočių atlikimo metodika</t>
  </si>
  <si>
    <t>Darbas su istorijos šaltiniais ir žemėlapiais</t>
  </si>
  <si>
    <r>
      <t>Išplės-tinis kursas</t>
    </r>
    <r>
      <rPr>
        <b/>
        <sz val="10"/>
        <color indexed="8"/>
        <rFont val="Times New Roman"/>
        <family val="1"/>
      </rPr>
      <t xml:space="preserve"> (A)</t>
    </r>
  </si>
  <si>
    <t>Teisė</t>
  </si>
  <si>
    <t>Ugdymas karjerai</t>
  </si>
  <si>
    <t>Debatai anglų kalba</t>
  </si>
  <si>
    <t>Chemijos eksperimentinių ir struktūrinių uždavinių sprendimas</t>
  </si>
  <si>
    <t>PRIVALOMIEJI BENDROJO UGDYMO DALYKŲ KURSAI</t>
  </si>
  <si>
    <t>Užsienio (prancūzų)</t>
  </si>
  <si>
    <t>Užsienio (ispanų)</t>
  </si>
  <si>
    <t>Užsienio (vokiečių)</t>
  </si>
  <si>
    <t>Statyba ir medžio apdirbimas</t>
  </si>
  <si>
    <t>-</t>
  </si>
  <si>
    <t>KRETINGOS JURGIO PABRĖŽOS UNIVERSITETINĖ GIMNAZIJA</t>
  </si>
  <si>
    <t>Keitimai 4 klasės I pusm.</t>
  </si>
  <si>
    <t>Keitimai 3 klasės II pusm.</t>
  </si>
  <si>
    <t>Keitimai 3 klasės I pusm.</t>
  </si>
  <si>
    <t>Pamokų skaičius 3-ioje klasėje:</t>
  </si>
  <si>
    <t>Pamokų skaičius 4-oje klasėje:</t>
  </si>
  <si>
    <t>Sporto šaka (aerobika)</t>
  </si>
  <si>
    <t>Sportiniai šokiai</t>
  </si>
  <si>
    <t>Programavimas</t>
  </si>
  <si>
    <t>Elektroninė leidyba</t>
  </si>
  <si>
    <t>Lotynų kalba</t>
  </si>
  <si>
    <t>Kiti pasirenkamieji dalykai</t>
  </si>
  <si>
    <t>Biotechnologijos</t>
  </si>
  <si>
    <t>Biologijos subtilybės</t>
  </si>
  <si>
    <t>Eksperimentinė chemija</t>
  </si>
  <si>
    <t>Rinktiniai fizikos uždaviniai</t>
  </si>
  <si>
    <t>Įdomioji geografija</t>
  </si>
  <si>
    <t>Pamokų skaičius
 3 klasėje:</t>
  </si>
  <si>
    <t>Pamokų skaičius
4 klasėje:</t>
  </si>
  <si>
    <t>* Į pamokų skaičių įskaičiuotas to dalyko modulis</t>
  </si>
  <si>
    <t>PROJEKTINIS DARBAS</t>
  </si>
  <si>
    <t>Projektinis darbas</t>
  </si>
  <si>
    <t>Projektinis darbas(tik 3-ioje klasėje)</t>
  </si>
  <si>
    <t>Užsienio kalba (antroji)</t>
  </si>
  <si>
    <t>Užsienio kalba (trečioji)</t>
  </si>
  <si>
    <t>Filosofija</t>
  </si>
  <si>
    <t>Verslas, vadyba ir mažmeninė prekyba</t>
  </si>
  <si>
    <t>2022-2024 m.m. individualaus ugdymo planas (III - IV kl.)</t>
  </si>
  <si>
    <t>Kalbos</t>
  </si>
  <si>
    <t>Socialinis ugdymas (1 privalomas)</t>
  </si>
  <si>
    <t>Gamtamokslinis ugdymas                   (1 privalomas)</t>
  </si>
  <si>
    <t>Meninis ugdymas ir technologijos          (1 privalomas)</t>
  </si>
  <si>
    <t>Fizinis ugdymas          (1 privalomas)</t>
  </si>
  <si>
    <t>Ispanų kalba</t>
  </si>
  <si>
    <t>Fizinis ugdymas</t>
  </si>
  <si>
    <t>Užpildytą anketą siųskite adresu: asta.motuziene@kjpug.lt</t>
  </si>
  <si>
    <t>Elektronika</t>
  </si>
  <si>
    <t>III klasė</t>
  </si>
  <si>
    <t>IV klasė</t>
  </si>
  <si>
    <t>Grafinis dizainas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</si>
</sst>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yyyy\-mm\-dd;@"/>
    <numFmt numFmtId="175" formatCode="[$€-2]\ ###,000_);[Red]\([$€-2]\ ###,000\)"/>
  </numFmts>
  <fonts count="11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Arial"/>
      <family val="2"/>
    </font>
    <font>
      <b/>
      <sz val="9"/>
      <name val="Wingdings 2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"/>
      <color indexed="9"/>
      <name val="Times New Roman"/>
      <family val="1"/>
    </font>
    <font>
      <sz val="7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7"/>
      <color theme="0"/>
      <name val="Times New Roman"/>
      <family val="1"/>
    </font>
    <font>
      <sz val="7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double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4" applyNumberFormat="0" applyAlignment="0" applyProtection="0"/>
    <xf numFmtId="0" fontId="82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0" fillId="31" borderId="6" applyNumberFormat="0" applyFon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textRotation="90" wrapText="1"/>
    </xf>
    <xf numFmtId="0" fontId="24" fillId="0" borderId="21" xfId="0" applyFont="1" applyBorder="1" applyAlignment="1">
      <alignment textRotation="90" wrapText="1"/>
    </xf>
    <xf numFmtId="0" fontId="22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2" fillId="35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0" fontId="93" fillId="0" borderId="0" xfId="0" applyFont="1" applyFill="1" applyBorder="1" applyAlignment="1">
      <alignment horizontal="left" vertical="center"/>
    </xf>
    <xf numFmtId="0" fontId="90" fillId="0" borderId="0" xfId="0" applyFont="1" applyAlignment="1">
      <alignment vertical="center"/>
    </xf>
    <xf numFmtId="0" fontId="94" fillId="33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4" fillId="34" borderId="11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/>
    </xf>
    <xf numFmtId="0" fontId="94" fillId="34" borderId="12" xfId="0" applyFont="1" applyFill="1" applyBorder="1" applyAlignment="1">
      <alignment horizontal="center" vertical="center" wrapText="1"/>
    </xf>
    <xf numFmtId="0" fontId="98" fillId="0" borderId="16" xfId="0" applyFont="1" applyBorder="1" applyAlignment="1">
      <alignment horizontal="left" vertical="center" wrapText="1"/>
    </xf>
    <xf numFmtId="0" fontId="98" fillId="0" borderId="0" xfId="0" applyFont="1" applyFill="1" applyBorder="1" applyAlignment="1">
      <alignment horizontal="left" vertical="center" wrapText="1"/>
    </xf>
    <xf numFmtId="0" fontId="94" fillId="0" borderId="27" xfId="0" applyFont="1" applyBorder="1" applyAlignment="1">
      <alignment vertical="center" wrapText="1"/>
    </xf>
    <xf numFmtId="0" fontId="98" fillId="0" borderId="11" xfId="0" applyFont="1" applyBorder="1" applyAlignment="1">
      <alignment horizontal="left" vertical="center" wrapText="1"/>
    </xf>
    <xf numFmtId="0" fontId="98" fillId="0" borderId="12" xfId="0" applyFont="1" applyBorder="1" applyAlignment="1">
      <alignment horizontal="left" vertical="center" wrapText="1"/>
    </xf>
    <xf numFmtId="0" fontId="98" fillId="0" borderId="13" xfId="0" applyFont="1" applyBorder="1" applyAlignment="1">
      <alignment horizontal="left" vertical="center" wrapText="1"/>
    </xf>
    <xf numFmtId="0" fontId="94" fillId="34" borderId="13" xfId="0" applyFont="1" applyFill="1" applyBorder="1" applyAlignment="1">
      <alignment horizontal="center" vertical="center" wrapText="1"/>
    </xf>
    <xf numFmtId="0" fontId="94" fillId="34" borderId="20" xfId="0" applyFont="1" applyFill="1" applyBorder="1" applyAlignment="1">
      <alignment horizontal="center" vertical="center" wrapText="1"/>
    </xf>
    <xf numFmtId="0" fontId="94" fillId="34" borderId="2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94" fillId="34" borderId="31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98" fillId="0" borderId="0" xfId="0" applyFont="1" applyFill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94" fillId="0" borderId="0" xfId="0" applyFont="1" applyBorder="1" applyAlignment="1">
      <alignment/>
    </xf>
    <xf numFmtId="0" fontId="94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86" fillId="0" borderId="32" xfId="0" applyFont="1" applyBorder="1" applyAlignment="1">
      <alignment vertical="center" textRotation="90"/>
    </xf>
    <xf numFmtId="0" fontId="14" fillId="0" borderId="33" xfId="0" applyFont="1" applyBorder="1" applyAlignment="1">
      <alignment horizontal="left" vertical="center" wrapText="1"/>
    </xf>
    <xf numFmtId="0" fontId="112" fillId="0" borderId="3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20" xfId="0" applyFont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94" fillId="34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8" fillId="0" borderId="14" xfId="0" applyFont="1" applyBorder="1" applyAlignment="1">
      <alignment horizontal="left" vertical="center"/>
    </xf>
    <xf numFmtId="0" fontId="109" fillId="0" borderId="12" xfId="0" applyFont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98" fillId="0" borderId="31" xfId="0" applyFont="1" applyBorder="1" applyAlignment="1">
      <alignment horizontal="left" vertical="center" wrapText="1"/>
    </xf>
    <xf numFmtId="0" fontId="86" fillId="0" borderId="17" xfId="0" applyFont="1" applyBorder="1" applyAlignment="1">
      <alignment vertical="center" textRotation="90"/>
    </xf>
    <xf numFmtId="0" fontId="6" fillId="0" borderId="17" xfId="0" applyFont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left" vertical="center"/>
    </xf>
    <xf numFmtId="0" fontId="90" fillId="0" borderId="38" xfId="0" applyFont="1" applyFill="1" applyBorder="1" applyAlignment="1">
      <alignment horizontal="left" vertical="center"/>
    </xf>
    <xf numFmtId="0" fontId="90" fillId="0" borderId="39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72" fillId="0" borderId="40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0" fillId="0" borderId="24" xfId="0" applyFont="1" applyFill="1" applyBorder="1" applyAlignment="1">
      <alignment horizontal="left" vertical="center"/>
    </xf>
    <xf numFmtId="0" fontId="90" fillId="0" borderId="42" xfId="0" applyFont="1" applyFill="1" applyBorder="1" applyAlignment="1">
      <alignment horizontal="left" vertical="center"/>
    </xf>
    <xf numFmtId="0" fontId="90" fillId="0" borderId="25" xfId="0" applyFont="1" applyFill="1" applyBorder="1" applyAlignment="1">
      <alignment horizontal="left" vertical="center"/>
    </xf>
    <xf numFmtId="0" fontId="90" fillId="0" borderId="14" xfId="0" applyFont="1" applyFill="1" applyBorder="1" applyAlignment="1">
      <alignment horizontal="left" vertical="center"/>
    </xf>
    <xf numFmtId="0" fontId="90" fillId="0" borderId="34" xfId="0" applyFont="1" applyFill="1" applyBorder="1" applyAlignment="1">
      <alignment horizontal="left" vertical="center"/>
    </xf>
    <xf numFmtId="0" fontId="90" fillId="0" borderId="43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/>
    </xf>
    <xf numFmtId="0" fontId="90" fillId="0" borderId="44" xfId="0" applyFont="1" applyFill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4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23" fillId="0" borderId="47" xfId="0" applyFont="1" applyBorder="1" applyAlignment="1">
      <alignment horizontal="center" vertical="center" textRotation="90" wrapText="1"/>
    </xf>
    <xf numFmtId="0" fontId="23" fillId="0" borderId="45" xfId="0" applyFont="1" applyFill="1" applyBorder="1" applyAlignment="1">
      <alignment horizontal="center" vertical="center" textRotation="90" wrapText="1"/>
    </xf>
    <xf numFmtId="0" fontId="23" fillId="0" borderId="46" xfId="0" applyFont="1" applyFill="1" applyBorder="1" applyAlignment="1">
      <alignment horizontal="center" vertical="center" textRotation="90" wrapText="1"/>
    </xf>
    <xf numFmtId="0" fontId="23" fillId="0" borderId="47" xfId="0" applyFont="1" applyFill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textRotation="90" wrapText="1"/>
    </xf>
    <xf numFmtId="0" fontId="23" fillId="0" borderId="4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textRotation="90" wrapText="1"/>
    </xf>
    <xf numFmtId="0" fontId="24" fillId="0" borderId="47" xfId="0" applyFont="1" applyBorder="1" applyAlignment="1">
      <alignment horizontal="center" textRotation="90" wrapText="1"/>
    </xf>
    <xf numFmtId="0" fontId="23" fillId="0" borderId="21" xfId="0" applyFont="1" applyBorder="1" applyAlignment="1">
      <alignment horizontal="center" textRotation="90" wrapText="1"/>
    </xf>
    <xf numFmtId="0" fontId="24" fillId="0" borderId="48" xfId="0" applyFont="1" applyBorder="1" applyAlignment="1">
      <alignment horizontal="center" textRotation="90" wrapText="1"/>
    </xf>
    <xf numFmtId="0" fontId="24" fillId="0" borderId="49" xfId="0" applyFont="1" applyBorder="1" applyAlignment="1">
      <alignment horizontal="center" textRotation="90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textRotation="90"/>
    </xf>
    <xf numFmtId="0" fontId="23" fillId="10" borderId="21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textRotation="90" wrapText="1"/>
    </xf>
    <xf numFmtId="0" fontId="24" fillId="0" borderId="51" xfId="0" applyFont="1" applyBorder="1" applyAlignment="1">
      <alignment horizontal="center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ill>
        <patternFill>
          <bgColor indexed="27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12</xdr:row>
      <xdr:rowOff>19050</xdr:rowOff>
    </xdr:from>
    <xdr:to>
      <xdr:col>12</xdr:col>
      <xdr:colOff>333375</xdr:colOff>
      <xdr:row>15</xdr:row>
      <xdr:rowOff>171450</xdr:rowOff>
    </xdr:to>
    <xdr:grpSp>
      <xdr:nvGrpSpPr>
        <xdr:cNvPr id="1" name="Grupė 1"/>
        <xdr:cNvGrpSpPr>
          <a:grpSpLocks/>
        </xdr:cNvGrpSpPr>
      </xdr:nvGrpSpPr>
      <xdr:grpSpPr>
        <a:xfrm>
          <a:off x="5524500" y="2514600"/>
          <a:ext cx="657225" cy="781050"/>
          <a:chOff x="5362575" y="2514600"/>
          <a:chExt cx="657225" cy="818242"/>
        </a:xfrm>
        <a:solidFill>
          <a:srgbClr val="FFFFFF"/>
        </a:solidFill>
      </xdr:grpSpPr>
    </xdr:grpSp>
    <xdr:clientData/>
  </xdr:twoCellAnchor>
  <xdr:twoCellAnchor>
    <xdr:from>
      <xdr:col>11</xdr:col>
      <xdr:colOff>142875</xdr:colOff>
      <xdr:row>16</xdr:row>
      <xdr:rowOff>38100</xdr:rowOff>
    </xdr:from>
    <xdr:to>
      <xdr:col>12</xdr:col>
      <xdr:colOff>323850</xdr:colOff>
      <xdr:row>21</xdr:row>
      <xdr:rowOff>152400</xdr:rowOff>
    </xdr:to>
    <xdr:grpSp>
      <xdr:nvGrpSpPr>
        <xdr:cNvPr id="7" name="Grupė 2"/>
        <xdr:cNvGrpSpPr>
          <a:grpSpLocks/>
        </xdr:cNvGrpSpPr>
      </xdr:nvGrpSpPr>
      <xdr:grpSpPr>
        <a:xfrm>
          <a:off x="5514975" y="3371850"/>
          <a:ext cx="657225" cy="1162050"/>
          <a:chOff x="5353050" y="3790950"/>
          <a:chExt cx="657225" cy="1174817"/>
        </a:xfrm>
        <a:solidFill>
          <a:srgbClr val="FFFFFF"/>
        </a:solidFill>
      </xdr:grpSpPr>
    </xdr:grpSp>
    <xdr:clientData/>
  </xdr:twoCellAnchor>
  <xdr:twoCellAnchor>
    <xdr:from>
      <xdr:col>11</xdr:col>
      <xdr:colOff>400050</xdr:colOff>
      <xdr:row>36</xdr:row>
      <xdr:rowOff>76200</xdr:rowOff>
    </xdr:from>
    <xdr:to>
      <xdr:col>12</xdr:col>
      <xdr:colOff>95250</xdr:colOff>
      <xdr:row>38</xdr:row>
      <xdr:rowOff>142875</xdr:rowOff>
    </xdr:to>
    <xdr:grpSp>
      <xdr:nvGrpSpPr>
        <xdr:cNvPr id="19" name="Grupė 6"/>
        <xdr:cNvGrpSpPr>
          <a:grpSpLocks/>
        </xdr:cNvGrpSpPr>
      </xdr:nvGrpSpPr>
      <xdr:grpSpPr>
        <a:xfrm>
          <a:off x="5772150" y="7629525"/>
          <a:ext cx="171450" cy="485775"/>
          <a:chOff x="5612294" y="8340590"/>
          <a:chExt cx="175591" cy="569843"/>
        </a:xfrm>
        <a:solidFill>
          <a:srgbClr val="FFFFFF"/>
        </a:solidFill>
      </xdr:grpSpPr>
    </xdr:grpSp>
    <xdr:clientData/>
  </xdr:twoCellAnchor>
  <xdr:twoCellAnchor>
    <xdr:from>
      <xdr:col>11</xdr:col>
      <xdr:colOff>142875</xdr:colOff>
      <xdr:row>21</xdr:row>
      <xdr:rowOff>190500</xdr:rowOff>
    </xdr:from>
    <xdr:to>
      <xdr:col>11</xdr:col>
      <xdr:colOff>447675</xdr:colOff>
      <xdr:row>26</xdr:row>
      <xdr:rowOff>19050</xdr:rowOff>
    </xdr:to>
    <xdr:grpSp>
      <xdr:nvGrpSpPr>
        <xdr:cNvPr id="23" name="Grupė 1"/>
        <xdr:cNvGrpSpPr>
          <a:grpSpLocks/>
        </xdr:cNvGrpSpPr>
      </xdr:nvGrpSpPr>
      <xdr:grpSpPr>
        <a:xfrm>
          <a:off x="5514975" y="4572000"/>
          <a:ext cx="304800" cy="876300"/>
          <a:chOff x="5334000" y="5175272"/>
          <a:chExt cx="307975" cy="863046"/>
        </a:xfrm>
        <a:solidFill>
          <a:srgbClr val="FFFFFF"/>
        </a:solidFill>
      </xdr:grpSpPr>
    </xdr:grpSp>
    <xdr:clientData/>
  </xdr:twoCellAnchor>
  <xdr:twoCellAnchor>
    <xdr:from>
      <xdr:col>11</xdr:col>
      <xdr:colOff>390525</xdr:colOff>
      <xdr:row>39</xdr:row>
      <xdr:rowOff>19050</xdr:rowOff>
    </xdr:from>
    <xdr:to>
      <xdr:col>12</xdr:col>
      <xdr:colOff>190500</xdr:colOff>
      <xdr:row>40</xdr:row>
      <xdr:rowOff>152400</xdr:rowOff>
    </xdr:to>
    <xdr:grpSp>
      <xdr:nvGrpSpPr>
        <xdr:cNvPr id="28" name="Grupė 6"/>
        <xdr:cNvGrpSpPr>
          <a:grpSpLocks/>
        </xdr:cNvGrpSpPr>
      </xdr:nvGrpSpPr>
      <xdr:grpSpPr>
        <a:xfrm>
          <a:off x="5762625" y="8201025"/>
          <a:ext cx="276225" cy="342900"/>
          <a:chOff x="5612294" y="8340590"/>
          <a:chExt cx="175591" cy="36277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8"/>
  <sheetViews>
    <sheetView showGridLines="0" tabSelected="1" zoomScalePageLayoutView="0" workbookViewId="0" topLeftCell="A1">
      <pane ySplit="12" topLeftCell="A22" activePane="bottomLeft" state="frozen"/>
      <selection pane="topLeft" activeCell="A1" sqref="A1"/>
      <selection pane="bottomLeft" activeCell="R1" sqref="R1:IV16384"/>
    </sheetView>
  </sheetViews>
  <sheetFormatPr defaultColWidth="0" defaultRowHeight="12.75" zeroHeight="1"/>
  <cols>
    <col min="1" max="1" width="2.8515625" style="2" customWidth="1"/>
    <col min="2" max="2" width="3.421875" style="2" customWidth="1"/>
    <col min="3" max="3" width="16.421875" style="2" customWidth="1"/>
    <col min="4" max="4" width="13.421875" style="2" customWidth="1"/>
    <col min="5" max="5" width="17.8515625" style="2" customWidth="1"/>
    <col min="6" max="8" width="4.28125" style="2" customWidth="1"/>
    <col min="9" max="11" width="4.57421875" style="2" customWidth="1"/>
    <col min="12" max="12" width="7.140625" style="2" customWidth="1"/>
    <col min="13" max="13" width="7.140625" style="118" customWidth="1"/>
    <col min="14" max="14" width="12.57421875" style="119" customWidth="1"/>
    <col min="15" max="15" width="31.28125" style="112" bestFit="1" customWidth="1"/>
    <col min="16" max="16" width="2.140625" style="112" bestFit="1" customWidth="1"/>
    <col min="17" max="17" width="49.421875" style="112" bestFit="1" customWidth="1"/>
    <col min="18" max="18" width="3.140625" style="158" hidden="1" customWidth="1"/>
    <col min="19" max="19" width="30.57421875" style="205" hidden="1" customWidth="1"/>
    <col min="20" max="21" width="6.421875" style="32" hidden="1" customWidth="1"/>
    <col min="22" max="24" width="12.140625" style="32" hidden="1" customWidth="1"/>
    <col min="25" max="25" width="12.140625" style="175" hidden="1" customWidth="1"/>
    <col min="26" max="31" width="12.140625" style="32" hidden="1" customWidth="1"/>
    <col min="32" max="59" width="1.28515625" style="32" hidden="1" customWidth="1"/>
    <col min="60" max="16384" width="1.28515625" style="160" hidden="1" customWidth="1"/>
  </cols>
  <sheetData>
    <row r="1" spans="1:59" s="159" customFormat="1" ht="18.75">
      <c r="A1" s="245" t="s">
        <v>108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11"/>
      <c r="O1" s="112"/>
      <c r="P1" s="112"/>
      <c r="Q1" s="112"/>
      <c r="R1" s="158"/>
      <c r="S1" s="203"/>
      <c r="T1" s="173"/>
      <c r="U1" s="173"/>
      <c r="V1" s="173"/>
      <c r="W1" s="173"/>
      <c r="X1" s="173"/>
      <c r="Y1" s="204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</row>
    <row r="2" spans="1:59" s="159" customFormat="1" ht="11.25" customHeight="1">
      <c r="A2" s="250" t="s">
        <v>135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14"/>
      <c r="O2" s="113"/>
      <c r="P2" s="113"/>
      <c r="Q2" s="112"/>
      <c r="R2" s="158"/>
      <c r="S2" s="203"/>
      <c r="T2" s="173"/>
      <c r="U2" s="173"/>
      <c r="V2" s="173"/>
      <c r="W2" s="173"/>
      <c r="X2" s="173"/>
      <c r="Y2" s="204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</row>
    <row r="3" spans="1:59" s="159" customFormat="1" ht="16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114"/>
      <c r="O3" s="115" t="s">
        <v>0</v>
      </c>
      <c r="P3" s="116">
        <f>T65</f>
        <v>0</v>
      </c>
      <c r="Q3" s="117" t="str">
        <f>IF(P3&gt;7,"","Dalykų turi būti ne mažiau kaip 8")</f>
        <v>Dalykų turi būti ne mažiau kaip 8</v>
      </c>
      <c r="R3" s="158"/>
      <c r="S3" s="203"/>
      <c r="T3" s="173"/>
      <c r="U3" s="173"/>
      <c r="V3" s="173"/>
      <c r="W3" s="173"/>
      <c r="X3" s="173"/>
      <c r="Y3" s="204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</row>
    <row r="4" spans="15:17" ht="6.75" customHeight="1">
      <c r="O4" s="120"/>
      <c r="P4" s="117"/>
      <c r="Q4" s="121"/>
    </row>
    <row r="5" spans="2:17" ht="16.5" customHeight="1">
      <c r="B5" s="4"/>
      <c r="C5" s="5" t="s">
        <v>64</v>
      </c>
      <c r="D5" s="247"/>
      <c r="E5" s="247"/>
      <c r="F5" s="6"/>
      <c r="G5" s="6"/>
      <c r="H5" s="5" t="s">
        <v>65</v>
      </c>
      <c r="I5" s="247"/>
      <c r="J5" s="247"/>
      <c r="K5" s="247"/>
      <c r="L5" s="247"/>
      <c r="M5" s="247"/>
      <c r="N5" s="122"/>
      <c r="O5" s="115" t="s">
        <v>112</v>
      </c>
      <c r="P5" s="116">
        <f>T67</f>
        <v>0</v>
      </c>
      <c r="Q5" s="117" t="str">
        <f>IF((P5&lt;=35)*(P5&gt;=28),"","Pamokų turi būti ne mažiau kaip 28 ir ne daugiau kaip 35")</f>
        <v>Pamokų turi būti ne mažiau kaip 28 ir ne daugiau kaip 35</v>
      </c>
    </row>
    <row r="6" spans="1:17" ht="9.75" customHeight="1">
      <c r="A6" s="7"/>
      <c r="B6" s="8"/>
      <c r="C6" s="9"/>
      <c r="D6" s="10"/>
      <c r="E6" s="10"/>
      <c r="F6" s="10"/>
      <c r="G6" s="10"/>
      <c r="H6" s="9"/>
      <c r="J6" s="9"/>
      <c r="K6" s="9"/>
      <c r="L6" s="11"/>
      <c r="M6" s="123"/>
      <c r="O6" s="120"/>
      <c r="P6" s="117"/>
      <c r="Q6" s="121"/>
    </row>
    <row r="7" spans="2:17" ht="16.5" customHeight="1">
      <c r="B7" s="12"/>
      <c r="C7" s="5" t="s">
        <v>2</v>
      </c>
      <c r="D7" s="213"/>
      <c r="F7" s="5"/>
      <c r="G7" s="5"/>
      <c r="H7" s="5" t="s">
        <v>71</v>
      </c>
      <c r="I7" s="247"/>
      <c r="J7" s="247"/>
      <c r="K7" s="247"/>
      <c r="L7" s="247"/>
      <c r="M7" s="247"/>
      <c r="O7" s="115" t="s">
        <v>113</v>
      </c>
      <c r="P7" s="116">
        <f>T69</f>
        <v>0</v>
      </c>
      <c r="Q7" s="117" t="str">
        <f>IF((P7&lt;=35)*(P7&gt;=28),"","Pamokų turi būti ne mažiau kaip 28 ir ne daugiau kaip 35")</f>
        <v>Pamokų turi būti ne mažiau kaip 28 ir ne daugiau kaip 35</v>
      </c>
    </row>
    <row r="8" spans="2:12" ht="9" customHeight="1">
      <c r="B8" s="12"/>
      <c r="I8" s="5"/>
      <c r="J8" s="14"/>
      <c r="K8" s="14"/>
      <c r="L8" s="13"/>
    </row>
    <row r="9" spans="1:59" s="162" customFormat="1" ht="12.75" customHeight="1">
      <c r="A9" s="69"/>
      <c r="B9" s="54" t="s">
        <v>67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124"/>
      <c r="N9" s="125"/>
      <c r="O9" s="126"/>
      <c r="P9" s="126"/>
      <c r="Q9" s="126"/>
      <c r="R9" s="161"/>
      <c r="S9" s="174"/>
      <c r="T9" s="174"/>
      <c r="U9" s="174"/>
      <c r="V9" s="174"/>
      <c r="W9" s="174"/>
      <c r="X9" s="174"/>
      <c r="Y9" s="206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</row>
    <row r="10" ht="8.25" customHeight="1">
      <c r="B10" s="15"/>
    </row>
    <row r="11" spans="2:28" ht="24" customHeight="1">
      <c r="B11" s="246" t="s">
        <v>4</v>
      </c>
      <c r="C11" s="243" t="s">
        <v>5</v>
      </c>
      <c r="D11" s="243" t="s">
        <v>6</v>
      </c>
      <c r="E11" s="243"/>
      <c r="F11" s="242" t="s">
        <v>109</v>
      </c>
      <c r="G11" s="242" t="s">
        <v>110</v>
      </c>
      <c r="H11" s="242" t="s">
        <v>111</v>
      </c>
      <c r="I11" s="248" t="s">
        <v>7</v>
      </c>
      <c r="J11" s="243" t="s">
        <v>8</v>
      </c>
      <c r="K11" s="243"/>
      <c r="L11" s="244" t="s">
        <v>42</v>
      </c>
      <c r="M11" s="240" t="s">
        <v>97</v>
      </c>
      <c r="N11" s="127"/>
      <c r="S11" s="230" t="s">
        <v>6</v>
      </c>
      <c r="T11" s="236" t="s">
        <v>9</v>
      </c>
      <c r="U11" s="236" t="s">
        <v>10</v>
      </c>
      <c r="V11" s="230" t="s">
        <v>11</v>
      </c>
      <c r="W11" s="230" t="s">
        <v>12</v>
      </c>
      <c r="X11" s="230" t="s">
        <v>13</v>
      </c>
      <c r="Y11" s="230" t="s">
        <v>7</v>
      </c>
      <c r="Z11" s="230" t="s">
        <v>14</v>
      </c>
      <c r="AA11" s="230" t="s">
        <v>15</v>
      </c>
      <c r="AB11" s="230" t="s">
        <v>16</v>
      </c>
    </row>
    <row r="12" spans="1:28" ht="46.5" customHeight="1">
      <c r="A12" s="193"/>
      <c r="B12" s="246"/>
      <c r="C12" s="243"/>
      <c r="D12" s="243"/>
      <c r="E12" s="243"/>
      <c r="F12" s="242"/>
      <c r="G12" s="242"/>
      <c r="H12" s="242"/>
      <c r="I12" s="248"/>
      <c r="J12" s="61" t="s">
        <v>145</v>
      </c>
      <c r="K12" s="61" t="s">
        <v>146</v>
      </c>
      <c r="L12" s="243"/>
      <c r="M12" s="241"/>
      <c r="N12" s="128"/>
      <c r="S12" s="230"/>
      <c r="T12" s="236"/>
      <c r="U12" s="236"/>
      <c r="V12" s="230"/>
      <c r="W12" s="230"/>
      <c r="X12" s="230"/>
      <c r="Y12" s="230"/>
      <c r="Z12" s="230"/>
      <c r="AA12" s="230"/>
      <c r="AB12" s="230"/>
    </row>
    <row r="13" spans="1:28" ht="16.5" customHeight="1">
      <c r="A13" s="249" t="s">
        <v>102</v>
      </c>
      <c r="B13" s="235">
        <v>1</v>
      </c>
      <c r="C13" s="222" t="s">
        <v>17</v>
      </c>
      <c r="D13" s="219" t="s">
        <v>18</v>
      </c>
      <c r="E13" s="219"/>
      <c r="F13" s="17"/>
      <c r="G13" s="17"/>
      <c r="H13" s="17"/>
      <c r="I13" s="18">
        <f aca="true" t="shared" si="0" ref="I13:I19">Y13</f>
      </c>
      <c r="J13" s="18">
        <f aca="true" t="shared" si="1" ref="J13:K33">IF(AC13="",AA13,AC13)</f>
      </c>
      <c r="K13" s="18">
        <f t="shared" si="1"/>
      </c>
      <c r="L13" s="19"/>
      <c r="M13" s="129" t="s">
        <v>19</v>
      </c>
      <c r="N13" s="130"/>
      <c r="O13" s="239" t="str">
        <f>IF(AND(NOT(T13),NOT(T14)),"Privaloma pasirinkti vieną dorinio ugdymo dalyką",IF(AND(T13,T14),"Galima rinktis tik vieną dorinio ugdymo dalyką",""))</f>
        <v>Privaloma pasirinkti vieną dorinio ugdymo dalyką</v>
      </c>
      <c r="P13" s="239"/>
      <c r="Q13" s="239"/>
      <c r="R13" s="163"/>
      <c r="S13" s="207" t="str">
        <f aca="true" t="shared" si="2" ref="S13:S19">D13</f>
        <v>Tikyba</v>
      </c>
      <c r="T13" s="32" t="b">
        <v>0</v>
      </c>
      <c r="V13" s="175">
        <f>IF((T13)*(W13=1),1,0)</f>
        <v>0</v>
      </c>
      <c r="W13" s="175">
        <f>IF(T13=T14,0,1)</f>
        <v>0</v>
      </c>
      <c r="X13" s="175"/>
      <c r="Y13" s="175">
        <f>IF(Z13=2,"B","")</f>
      </c>
      <c r="Z13" s="175">
        <f>IF((T13=TRUE)*(W13=1),2,0)</f>
        <v>0</v>
      </c>
      <c r="AA13" s="175">
        <f>IF(Z13=2,1,"")</f>
      </c>
      <c r="AB13" s="175">
        <f>IF(Z13=2,1,"")</f>
      </c>
    </row>
    <row r="14" spans="1:28" ht="16.5" customHeight="1">
      <c r="A14" s="249"/>
      <c r="B14" s="235"/>
      <c r="C14" s="222"/>
      <c r="D14" s="224" t="s">
        <v>20</v>
      </c>
      <c r="E14" s="224"/>
      <c r="F14" s="20"/>
      <c r="G14" s="20"/>
      <c r="H14" s="20"/>
      <c r="I14" s="21">
        <f t="shared" si="0"/>
      </c>
      <c r="J14" s="75">
        <f t="shared" si="1"/>
      </c>
      <c r="K14" s="75">
        <f t="shared" si="1"/>
      </c>
      <c r="L14" s="22"/>
      <c r="M14" s="132" t="s">
        <v>19</v>
      </c>
      <c r="N14" s="130"/>
      <c r="O14" s="239"/>
      <c r="P14" s="239"/>
      <c r="Q14" s="239"/>
      <c r="R14" s="163"/>
      <c r="S14" s="207" t="str">
        <f t="shared" si="2"/>
        <v>Etika</v>
      </c>
      <c r="T14" s="32" t="b">
        <v>0</v>
      </c>
      <c r="V14" s="175">
        <f>IF((T14)*(W14=1),1,0)</f>
        <v>0</v>
      </c>
      <c r="W14" s="175">
        <f>IF(T13=T14,0,1)</f>
        <v>0</v>
      </c>
      <c r="X14" s="175"/>
      <c r="Y14" s="175">
        <f>IF(Z14=2,"B","")</f>
      </c>
      <c r="Z14" s="175">
        <f>IF((T14=TRUE)*(W14=1),2,0)</f>
        <v>0</v>
      </c>
      <c r="AA14" s="175">
        <f>IF(Z14=2,1,"")</f>
      </c>
      <c r="AB14" s="175">
        <f>IF(Z14=2,1,"")</f>
      </c>
    </row>
    <row r="15" spans="1:30" ht="16.5" customHeight="1">
      <c r="A15" s="249"/>
      <c r="B15" s="106">
        <v>2</v>
      </c>
      <c r="C15" s="215" t="s">
        <v>136</v>
      </c>
      <c r="D15" s="237" t="s">
        <v>68</v>
      </c>
      <c r="E15" s="238"/>
      <c r="F15" s="55"/>
      <c r="G15" s="55"/>
      <c r="H15" s="55"/>
      <c r="I15" s="80">
        <f t="shared" si="0"/>
      </c>
      <c r="J15" s="18">
        <f t="shared" si="1"/>
      </c>
      <c r="K15" s="18">
        <f t="shared" si="1"/>
      </c>
      <c r="L15" s="56"/>
      <c r="M15" s="133"/>
      <c r="N15" s="134"/>
      <c r="O15" s="231" t="str">
        <f>IF(AND(NOT(T15),NOT(U15)),"Privaloma pasirinkti lietuvių k. B arba A kursą.",IF(AND(T15,U15),"Galima rinktis tik A arba B kursą",""))</f>
        <v>Privaloma pasirinkti lietuvių k. B arba A kursą.</v>
      </c>
      <c r="P15" s="232"/>
      <c r="Q15" s="233"/>
      <c r="S15" s="207" t="str">
        <f t="shared" si="2"/>
        <v>Lietuvių kalba ir literatūra</v>
      </c>
      <c r="T15" s="32" t="b">
        <v>0</v>
      </c>
      <c r="U15" s="32" t="b">
        <v>0</v>
      </c>
      <c r="V15" s="175">
        <f>IF((T15+U15)*NOT(T15*U15),1,0)</f>
        <v>0</v>
      </c>
      <c r="Y15" s="175">
        <f>IF((T15=TRUE)*(Z15=8),"B",IF((U15=TRUE)*(Z15=12),"A",""))</f>
      </c>
      <c r="Z15" s="175">
        <f>IF((T15=TRUE)*(U15=FALSE),8,IF((T15=FALSE)*(U15=TRUE),12,0))</f>
        <v>0</v>
      </c>
      <c r="AA15" s="32">
        <f>IF(Z15=0,"",IF(Z15=8,4,6))</f>
      </c>
      <c r="AB15" s="175">
        <f>IF(Z15=0,"",IF(Z15=8,4,6))</f>
      </c>
      <c r="AC15" s="32">
        <f>IF(AA15=6,"6*",AA15)</f>
      </c>
      <c r="AD15" s="32">
        <f>IF(AB15=6,"6*",AB15)</f>
      </c>
    </row>
    <row r="16" spans="1:30" ht="16.5" customHeight="1">
      <c r="A16" s="249"/>
      <c r="B16" s="106">
        <v>3</v>
      </c>
      <c r="C16" s="216"/>
      <c r="D16" s="225" t="s">
        <v>21</v>
      </c>
      <c r="E16" s="226"/>
      <c r="F16" s="94"/>
      <c r="G16" s="18"/>
      <c r="H16" s="18"/>
      <c r="I16" s="18">
        <f t="shared" si="0"/>
      </c>
      <c r="J16" s="18">
        <f t="shared" si="1"/>
      </c>
      <c r="K16" s="18">
        <f t="shared" si="1"/>
      </c>
      <c r="L16" s="95"/>
      <c r="M16" s="135"/>
      <c r="N16" s="134"/>
      <c r="O16" s="234" t="str">
        <f>IF(SUM(X16:X16)=0,"Privaloma pasirinkti užsienio kalbą.",IF(X16&gt;1,"Galima pasirinkti tik vieną privalomąją užsienio kalbą. Norėdami mokytis daugiau užsienio kalbų, pasirinkite pasirenkamąją (arba pradedantiesiems) užsienio kalbą. Žr. Nr. 9",""))</f>
        <v>Privaloma pasirinkti užsienio kalbą.</v>
      </c>
      <c r="P16" s="234"/>
      <c r="Q16" s="234"/>
      <c r="R16" s="164"/>
      <c r="S16" s="207" t="str">
        <f t="shared" si="2"/>
        <v>Anglų kalba</v>
      </c>
      <c r="U16" s="32" t="b">
        <v>0</v>
      </c>
      <c r="V16" s="175">
        <f>IF((U16)*(W16=1),1,0)</f>
        <v>0</v>
      </c>
      <c r="W16" s="175">
        <f>IF(SUM($X$16:$X$16)=1,1,0)</f>
        <v>0</v>
      </c>
      <c r="X16" s="175">
        <f>IF(U16,1,0)</f>
        <v>0</v>
      </c>
      <c r="Y16" s="175">
        <f>IF(Z16=0,"","L")</f>
      </c>
      <c r="Z16" s="175">
        <f>IF((U16=TRUE)*(W16=1),8,0)</f>
        <v>0</v>
      </c>
      <c r="AA16" s="175">
        <f>IF(Z16=0,"",4)</f>
      </c>
      <c r="AB16" s="175">
        <f>IF(Z16=0,"",4)</f>
      </c>
      <c r="AC16" s="32">
        <f>IF(AA16=4,"4*",AA16)</f>
      </c>
      <c r="AD16" s="32">
        <f>IF(AB16=4,"4*",AB16)</f>
      </c>
    </row>
    <row r="17" spans="1:30" ht="16.5" customHeight="1">
      <c r="A17" s="249"/>
      <c r="B17" s="235">
        <v>4</v>
      </c>
      <c r="C17" s="222" t="s">
        <v>137</v>
      </c>
      <c r="D17" s="96" t="s">
        <v>23</v>
      </c>
      <c r="E17" s="97"/>
      <c r="F17" s="94"/>
      <c r="G17" s="18"/>
      <c r="H17" s="18"/>
      <c r="I17" s="18">
        <f t="shared" si="0"/>
      </c>
      <c r="J17" s="18">
        <f>IF(AC17="",AA17,AC17)</f>
      </c>
      <c r="K17" s="18">
        <f t="shared" si="1"/>
      </c>
      <c r="L17" s="98"/>
      <c r="M17" s="136"/>
      <c r="N17" s="134"/>
      <c r="O17" s="234" t="str">
        <f>IF(SUM(X17:X18)=0,"Privaloma pasirinkti bent vieną iš visuomenės mokslų.",IF(OR(X17=2,X18=2),"Galima rinktis tik A arba B kursą",""))</f>
        <v>Privaloma pasirinkti bent vieną iš visuomenės mokslų.</v>
      </c>
      <c r="P17" s="234"/>
      <c r="Q17" s="234"/>
      <c r="R17" s="163"/>
      <c r="S17" s="207" t="str">
        <f t="shared" si="2"/>
        <v>Istorija</v>
      </c>
      <c r="T17" s="32" t="b">
        <v>0</v>
      </c>
      <c r="U17" s="32" t="b">
        <v>0</v>
      </c>
      <c r="V17" s="175">
        <f aca="true" t="shared" si="3" ref="V17:V22">IF((T17+U17)*NOT(T17*U17),1,0)</f>
        <v>0</v>
      </c>
      <c r="W17" s="175">
        <f>IF($V$17+$V$18&gt;0,1,0)</f>
        <v>0</v>
      </c>
      <c r="X17" s="175">
        <f>IF((T17=U17)*(T17=TRUE)*(U17=TRUE),2,IF((T17=U17),0,1))</f>
        <v>0</v>
      </c>
      <c r="Y17" s="175">
        <f>IF(Z17=4,"B",IF(Z17=6,"A",""))</f>
      </c>
      <c r="Z17" s="175">
        <f>IF((T17=TRUE)*(U17=FALSE)*(W17=1),4,IF((T17=FALSE)*(U17=TRUE)*(W17=1),6,0))</f>
        <v>0</v>
      </c>
      <c r="AA17" s="175">
        <f>IF(Z17=0,"",IF(Z17=4,2,4))</f>
      </c>
      <c r="AB17" s="175">
        <f>IF(Z17=0,"",IF(Z17=4,2,4))</f>
      </c>
      <c r="AC17" s="32">
        <f>IF(AA17=4,"4*",AA17)</f>
      </c>
      <c r="AD17" s="32">
        <f>IF(AB17=4,"4*",AB17)</f>
      </c>
    </row>
    <row r="18" spans="1:28" ht="16.5" customHeight="1">
      <c r="A18" s="249"/>
      <c r="B18" s="235"/>
      <c r="C18" s="222"/>
      <c r="D18" s="224" t="s">
        <v>24</v>
      </c>
      <c r="E18" s="224"/>
      <c r="F18" s="20"/>
      <c r="G18" s="20"/>
      <c r="H18" s="20"/>
      <c r="I18" s="21">
        <f t="shared" si="0"/>
      </c>
      <c r="J18" s="75">
        <f t="shared" si="1"/>
      </c>
      <c r="K18" s="75">
        <f t="shared" si="1"/>
      </c>
      <c r="L18" s="22"/>
      <c r="M18" s="137"/>
      <c r="N18" s="134"/>
      <c r="O18" s="234"/>
      <c r="P18" s="234"/>
      <c r="Q18" s="234"/>
      <c r="R18" s="163"/>
      <c r="S18" s="207" t="str">
        <f t="shared" si="2"/>
        <v>Geografija</v>
      </c>
      <c r="T18" s="32" t="b">
        <v>0</v>
      </c>
      <c r="U18" s="32" t="b">
        <v>0</v>
      </c>
      <c r="V18" s="175">
        <f t="shared" si="3"/>
        <v>0</v>
      </c>
      <c r="W18" s="175">
        <f>IF($V$17+$V$18&gt;0,1,0)</f>
        <v>0</v>
      </c>
      <c r="X18" s="175">
        <f>IF((T18=U18)*(T18=TRUE)*(U18=TRUE),2,IF((T18=U18),0,1))</f>
        <v>0</v>
      </c>
      <c r="Y18" s="175">
        <f>IF(Z18=4,"B",IF(Z18=6,"A",""))</f>
      </c>
      <c r="Z18" s="175">
        <f>IF((T18=TRUE)*(U18=FALSE)*(W18=1),4,IF((T18=FALSE)*(U18=TRUE)*(W18=1),6,0))</f>
        <v>0</v>
      </c>
      <c r="AA18" s="175">
        <f>IF(Z18=0,"",IF(Z18=4,2,3))</f>
      </c>
      <c r="AB18" s="175">
        <f>IF(Z18=0,"",IF(Z18=4,2,3))</f>
      </c>
    </row>
    <row r="19" spans="1:30" ht="16.5" customHeight="1">
      <c r="A19" s="249"/>
      <c r="B19" s="106">
        <v>5</v>
      </c>
      <c r="C19" s="92" t="s">
        <v>25</v>
      </c>
      <c r="D19" s="90" t="s">
        <v>25</v>
      </c>
      <c r="E19" s="91"/>
      <c r="F19" s="89"/>
      <c r="G19" s="80"/>
      <c r="H19" s="80"/>
      <c r="I19" s="81">
        <f t="shared" si="0"/>
      </c>
      <c r="J19" s="18">
        <f t="shared" si="1"/>
      </c>
      <c r="K19" s="18">
        <f t="shared" si="1"/>
      </c>
      <c r="L19" s="93"/>
      <c r="M19" s="133"/>
      <c r="N19" s="134"/>
      <c r="O19" s="231" t="str">
        <f>IF(AND(NOT(T19),NOT(U19)),"Privaloma pasirinkti matematikos A arba B kursą",IF(AND(T19,U19),"Galima rinktis tik A arba B kursą",""))</f>
        <v>Privaloma pasirinkti matematikos A arba B kursą</v>
      </c>
      <c r="P19" s="232"/>
      <c r="Q19" s="233"/>
      <c r="S19" s="207" t="str">
        <f t="shared" si="2"/>
        <v>Matematika</v>
      </c>
      <c r="T19" s="32" t="b">
        <v>0</v>
      </c>
      <c r="U19" s="32" t="b">
        <v>0</v>
      </c>
      <c r="V19" s="175">
        <f t="shared" si="3"/>
        <v>0</v>
      </c>
      <c r="Y19" s="175">
        <f>IF((T19=TRUE)*(Z19=8),"B",IF((U19=TRUE)*(Z19=12),"A",""))</f>
      </c>
      <c r="Z19" s="175">
        <f>IF((T19=TRUE)*(U19=FALSE),8,IF((T19=FALSE)*(U19=TRUE),12,0))</f>
        <v>0</v>
      </c>
      <c r="AA19" s="32">
        <f>IF(Z19=0,"",IF(Z19=12,6,4))</f>
      </c>
      <c r="AB19" s="175">
        <f>IF(Z19=0,"",IF(Z19=12,6,4))</f>
      </c>
      <c r="AC19" s="32">
        <f>IF(AA19=4,"4*",IF(AA19=6,"6*",AA19))</f>
      </c>
      <c r="AD19" s="32">
        <f>IF(AB19=4,"4*",IF(AB19=6,"6*",AB19))</f>
      </c>
    </row>
    <row r="20" spans="1:28" ht="16.5" customHeight="1">
      <c r="A20" s="249"/>
      <c r="B20" s="235">
        <v>6</v>
      </c>
      <c r="C20" s="222" t="s">
        <v>138</v>
      </c>
      <c r="D20" s="219" t="s">
        <v>27</v>
      </c>
      <c r="E20" s="219"/>
      <c r="F20" s="17"/>
      <c r="G20" s="17"/>
      <c r="H20" s="17"/>
      <c r="I20" s="26">
        <f aca="true" t="shared" si="4" ref="I20:I33">Y20</f>
      </c>
      <c r="J20" s="18">
        <f t="shared" si="1"/>
      </c>
      <c r="K20" s="18">
        <f t="shared" si="1"/>
      </c>
      <c r="L20" s="19"/>
      <c r="M20" s="136"/>
      <c r="N20" s="134"/>
      <c r="O20" s="239" t="str">
        <f>IF(SUM(X20:X22)=0,"Privaloma pasirinkti bent vieną iš gamtos mokslų",IF(OR(X20=2,X21=2,X22=2),"Galima rinktis tik A arba B kursą",""))</f>
        <v>Privaloma pasirinkti bent vieną iš gamtos mokslų</v>
      </c>
      <c r="P20" s="239"/>
      <c r="Q20" s="239"/>
      <c r="R20" s="163"/>
      <c r="S20" s="207" t="str">
        <f aca="true" t="shared" si="5" ref="S20:S33">D20</f>
        <v>Biologija</v>
      </c>
      <c r="T20" s="32" t="b">
        <v>0</v>
      </c>
      <c r="U20" s="32" t="b">
        <v>0</v>
      </c>
      <c r="V20" s="175">
        <f t="shared" si="3"/>
        <v>0</v>
      </c>
      <c r="W20" s="175">
        <f>IF(((V20=1)+(V21=1)+(V22=1))*((X20=1)+(X20=0))*((X21=1)+(X21=0))*((X21=1)+(X21=0)),1,0)</f>
        <v>0</v>
      </c>
      <c r="X20" s="175">
        <f>IF((T20=U20)*(T20=TRUE)*(U20=TRUE),2,IF((T20=U20),0,1))</f>
        <v>0</v>
      </c>
      <c r="Y20" s="175">
        <f>IF(Z20=4,"B",IF(Z20=6,"A",""))</f>
      </c>
      <c r="Z20" s="175">
        <f>IF((T20=TRUE)*(U20=FALSE),4,IF((T20=FALSE)*(U20=TRUE),6,0))</f>
        <v>0</v>
      </c>
      <c r="AA20" s="175">
        <f>IF(Z20=0,"",IF(Z20=4,2,3))</f>
      </c>
      <c r="AB20" s="175">
        <f>IF(Z20=0,"",IF(Z20=4,2,3))</f>
      </c>
    </row>
    <row r="21" spans="1:28" ht="16.5" customHeight="1">
      <c r="A21" s="249"/>
      <c r="B21" s="235"/>
      <c r="C21" s="222"/>
      <c r="D21" s="223" t="s">
        <v>29</v>
      </c>
      <c r="E21" s="223"/>
      <c r="F21" s="23"/>
      <c r="G21" s="23"/>
      <c r="H21" s="23"/>
      <c r="I21" s="27">
        <f t="shared" si="4"/>
      </c>
      <c r="J21" s="28">
        <f t="shared" si="1"/>
      </c>
      <c r="K21" s="28">
        <f t="shared" si="1"/>
      </c>
      <c r="L21" s="29"/>
      <c r="M21" s="138"/>
      <c r="N21" s="134"/>
      <c r="O21" s="239"/>
      <c r="P21" s="239"/>
      <c r="Q21" s="239"/>
      <c r="R21" s="163"/>
      <c r="S21" s="207" t="str">
        <f t="shared" si="5"/>
        <v>Chemija</v>
      </c>
      <c r="T21" s="32" t="b">
        <v>0</v>
      </c>
      <c r="U21" s="32" t="b">
        <v>0</v>
      </c>
      <c r="V21" s="175">
        <f t="shared" si="3"/>
        <v>0</v>
      </c>
      <c r="W21" s="175">
        <f>IF(((V20=1)+(V21=1)+(V22=1))*((X20=1)+(X20=0))*((X21=1)+(X21=0))*((X21=1)+(X21=0)),1,0)</f>
        <v>0</v>
      </c>
      <c r="X21" s="175">
        <f>IF((T21=U21)*(T21=TRUE)*(U21=TRUE),2,IF((T21=U21),0,1))</f>
        <v>0</v>
      </c>
      <c r="Y21" s="175">
        <f>IF(Z21=4,"B",IF(Z21=7,"A",""))</f>
      </c>
      <c r="Z21" s="175">
        <f>IF((T21=TRUE)*(U21=FALSE),4,IF((T21=FALSE)*(U21=TRUE),7,0))</f>
        <v>0</v>
      </c>
      <c r="AA21" s="175">
        <f>IF(Z21=0,"",IF(Z21=4,2,3))</f>
      </c>
      <c r="AB21" s="175">
        <f>IF(Z21=0,"",IF(Z21=4,2,3))</f>
      </c>
    </row>
    <row r="22" spans="1:28" ht="16.5" customHeight="1">
      <c r="A22" s="249"/>
      <c r="B22" s="235"/>
      <c r="C22" s="222"/>
      <c r="D22" s="224" t="s">
        <v>28</v>
      </c>
      <c r="E22" s="224"/>
      <c r="F22" s="20"/>
      <c r="G22" s="20"/>
      <c r="H22" s="20"/>
      <c r="I22" s="30">
        <f t="shared" si="4"/>
      </c>
      <c r="J22" s="60">
        <f t="shared" si="1"/>
      </c>
      <c r="K22" s="60">
        <f t="shared" si="1"/>
      </c>
      <c r="L22" s="22"/>
      <c r="M22" s="196"/>
      <c r="N22" s="134"/>
      <c r="O22" s="239"/>
      <c r="P22" s="239"/>
      <c r="Q22" s="239"/>
      <c r="R22" s="163"/>
      <c r="S22" s="207" t="str">
        <f t="shared" si="5"/>
        <v>Fizika</v>
      </c>
      <c r="T22" s="32" t="b">
        <v>0</v>
      </c>
      <c r="U22" s="32" t="b">
        <v>0</v>
      </c>
      <c r="V22" s="175">
        <f t="shared" si="3"/>
        <v>0</v>
      </c>
      <c r="W22" s="175">
        <f>IF(((V20=1)+(V21=1)+(V22=1))*((X20=1)+(X20=0))*((X21=1)+(X21=0))*((X21=1)+(X21=0)),1,0)</f>
        <v>0</v>
      </c>
      <c r="X22" s="175">
        <f>IF((T22=U22)*(T22=TRUE)*(U22=TRUE),2,IF((T22=U22),0,1))</f>
        <v>0</v>
      </c>
      <c r="Y22" s="175">
        <f>IF(Z22=4,"B",IF(Z22=6,"A",""))</f>
      </c>
      <c r="Z22" s="175">
        <f>IF((T22=TRUE)*(U22=FALSE),4,IF((T22=FALSE)*(U22=TRUE),6,0))</f>
        <v>0</v>
      </c>
      <c r="AA22" s="175">
        <f>IF(Z22=0,"",IF(Z22=4,2,3))</f>
      </c>
      <c r="AB22" s="175">
        <f>IF(Z22=0,"",IF(Z22=4,2,4))</f>
      </c>
    </row>
    <row r="23" spans="1:28" ht="16.5" customHeight="1">
      <c r="A23" s="249"/>
      <c r="B23" s="235">
        <v>7</v>
      </c>
      <c r="C23" s="222" t="s">
        <v>139</v>
      </c>
      <c r="D23" s="219" t="s">
        <v>31</v>
      </c>
      <c r="E23" s="219"/>
      <c r="F23" s="17"/>
      <c r="G23" s="17"/>
      <c r="H23" s="17"/>
      <c r="I23" s="18">
        <f t="shared" si="4"/>
      </c>
      <c r="J23" s="18">
        <f t="shared" si="1"/>
      </c>
      <c r="K23" s="18">
        <f t="shared" si="1"/>
      </c>
      <c r="L23" s="19"/>
      <c r="M23" s="139" t="s">
        <v>19</v>
      </c>
      <c r="N23" s="130"/>
      <c r="O23" s="258" t="str">
        <f>IF(SUM(X23:X30)=0,"Privaloma pasirinkti bent vieną iš menų ir technologijų mokslų",IF(SUM(X27:X30)&gt;1,"Galima pasirinkti tik vieną technologijų dalyką",IF(SUM(X23:X26)&gt;1,"Galima pasirinkti tik vieną menų dalyką","")))</f>
        <v>Privaloma pasirinkti bent vieną iš menų ir technologijų mokslų</v>
      </c>
      <c r="P23" s="259"/>
      <c r="Q23" s="260"/>
      <c r="R23" s="163"/>
      <c r="S23" s="207" t="str">
        <f t="shared" si="5"/>
        <v>Dailė</v>
      </c>
      <c r="T23" s="32" t="b">
        <v>0</v>
      </c>
      <c r="V23" s="175">
        <f>IF((W23=1)*(X23=1),1,0)</f>
        <v>0</v>
      </c>
      <c r="W23" s="175">
        <f>IF((SUM($X$23:$X$26)=1),1,0)</f>
        <v>0</v>
      </c>
      <c r="X23" s="175">
        <f>IF(T23,1,0)</f>
        <v>0</v>
      </c>
      <c r="Y23" s="175">
        <f aca="true" t="shared" si="6" ref="Y23:Y33">IF(Z23=4,"B","")</f>
      </c>
      <c r="Z23" s="175">
        <f aca="true" t="shared" si="7" ref="Z23:Z33">IF((T23=TRUE)*(W23=1),4,0)</f>
        <v>0</v>
      </c>
      <c r="AA23" s="175">
        <f aca="true" t="shared" si="8" ref="AA23:AA33">IF(Z23=4,2,"")</f>
      </c>
      <c r="AB23" s="175">
        <f aca="true" t="shared" si="9" ref="AB23:AB33">IF(Z23=4,2,"")</f>
      </c>
    </row>
    <row r="24" spans="1:28" ht="16.5" customHeight="1">
      <c r="A24" s="249"/>
      <c r="B24" s="235"/>
      <c r="C24" s="267"/>
      <c r="D24" s="223" t="s">
        <v>32</v>
      </c>
      <c r="E24" s="223"/>
      <c r="F24" s="23"/>
      <c r="G24" s="23"/>
      <c r="H24" s="23"/>
      <c r="I24" s="28">
        <f t="shared" si="4"/>
      </c>
      <c r="J24" s="28">
        <f t="shared" si="1"/>
      </c>
      <c r="K24" s="28">
        <f t="shared" si="1"/>
      </c>
      <c r="L24" s="29"/>
      <c r="M24" s="139" t="s">
        <v>19</v>
      </c>
      <c r="N24" s="130"/>
      <c r="O24" s="261"/>
      <c r="P24" s="239"/>
      <c r="Q24" s="262"/>
      <c r="R24" s="163"/>
      <c r="S24" s="207" t="str">
        <f t="shared" si="5"/>
        <v>Muzika</v>
      </c>
      <c r="T24" s="32" t="b">
        <v>0</v>
      </c>
      <c r="V24" s="175">
        <f aca="true" t="shared" si="10" ref="V24:V30">IF((W24=1)*(X24=1),1,0)</f>
        <v>0</v>
      </c>
      <c r="W24" s="175">
        <f>IF((SUM($X$23:$X$26)=1),1,0)</f>
        <v>0</v>
      </c>
      <c r="X24" s="175">
        <f aca="true" t="shared" si="11" ref="X24:X33">IF(T24,1,0)</f>
        <v>0</v>
      </c>
      <c r="Y24" s="175">
        <f t="shared" si="6"/>
      </c>
      <c r="Z24" s="175">
        <f t="shared" si="7"/>
        <v>0</v>
      </c>
      <c r="AA24" s="175">
        <f t="shared" si="8"/>
      </c>
      <c r="AB24" s="175">
        <f t="shared" si="9"/>
      </c>
    </row>
    <row r="25" spans="1:28" ht="16.5" customHeight="1">
      <c r="A25" s="249"/>
      <c r="B25" s="235"/>
      <c r="C25" s="267"/>
      <c r="D25" s="223" t="s">
        <v>33</v>
      </c>
      <c r="E25" s="223"/>
      <c r="F25" s="23"/>
      <c r="G25" s="23"/>
      <c r="H25" s="23"/>
      <c r="I25" s="28">
        <f t="shared" si="4"/>
      </c>
      <c r="J25" s="28">
        <f t="shared" si="1"/>
      </c>
      <c r="K25" s="28">
        <f t="shared" si="1"/>
      </c>
      <c r="L25" s="29"/>
      <c r="M25" s="139" t="s">
        <v>19</v>
      </c>
      <c r="N25" s="130"/>
      <c r="O25" s="261"/>
      <c r="P25" s="239"/>
      <c r="Q25" s="262"/>
      <c r="R25" s="163"/>
      <c r="S25" s="207" t="str">
        <f t="shared" si="5"/>
        <v>Teatras</v>
      </c>
      <c r="T25" s="32" t="b">
        <v>0</v>
      </c>
      <c r="V25" s="175">
        <f t="shared" si="10"/>
        <v>0</v>
      </c>
      <c r="W25" s="175">
        <f>IF((SUM($X$23:$X$26)=1),1,0)</f>
        <v>0</v>
      </c>
      <c r="X25" s="175">
        <f t="shared" si="11"/>
        <v>0</v>
      </c>
      <c r="Y25" s="175">
        <f t="shared" si="6"/>
      </c>
      <c r="Z25" s="175">
        <f t="shared" si="7"/>
        <v>0</v>
      </c>
      <c r="AA25" s="175">
        <f t="shared" si="8"/>
      </c>
      <c r="AB25" s="175">
        <f t="shared" si="9"/>
      </c>
    </row>
    <row r="26" spans="1:28" ht="16.5" customHeight="1">
      <c r="A26" s="249"/>
      <c r="B26" s="235"/>
      <c r="C26" s="267"/>
      <c r="D26" s="268" t="s">
        <v>77</v>
      </c>
      <c r="E26" s="268"/>
      <c r="F26" s="185"/>
      <c r="G26" s="185"/>
      <c r="H26" s="185"/>
      <c r="I26" s="186">
        <f t="shared" si="4"/>
      </c>
      <c r="J26" s="187">
        <f t="shared" si="1"/>
      </c>
      <c r="K26" s="187">
        <f t="shared" si="1"/>
      </c>
      <c r="L26" s="189"/>
      <c r="M26" s="190" t="s">
        <v>19</v>
      </c>
      <c r="N26" s="130"/>
      <c r="O26" s="261"/>
      <c r="P26" s="239"/>
      <c r="Q26" s="262"/>
      <c r="R26" s="163"/>
      <c r="S26" s="207" t="str">
        <f t="shared" si="5"/>
        <v>Šokis</v>
      </c>
      <c r="T26" s="32" t="b">
        <v>0</v>
      </c>
      <c r="V26" s="175">
        <f t="shared" si="10"/>
        <v>0</v>
      </c>
      <c r="W26" s="175">
        <f>IF((SUM($X$23:$X$26)=1),1,0)</f>
        <v>0</v>
      </c>
      <c r="X26" s="175">
        <f t="shared" si="11"/>
        <v>0</v>
      </c>
      <c r="Y26" s="175">
        <f t="shared" si="6"/>
      </c>
      <c r="Z26" s="175">
        <f t="shared" si="7"/>
        <v>0</v>
      </c>
      <c r="AA26" s="175">
        <f t="shared" si="8"/>
      </c>
      <c r="AB26" s="175">
        <f t="shared" si="9"/>
      </c>
    </row>
    <row r="27" spans="1:28" ht="16.5" customHeight="1">
      <c r="A27" s="249"/>
      <c r="B27" s="235"/>
      <c r="C27" s="267"/>
      <c r="D27" s="223" t="s">
        <v>78</v>
      </c>
      <c r="E27" s="223"/>
      <c r="F27" s="58"/>
      <c r="G27" s="58"/>
      <c r="H27" s="58"/>
      <c r="I27" s="188">
        <f t="shared" si="4"/>
      </c>
      <c r="J27" s="28">
        <f t="shared" si="1"/>
      </c>
      <c r="K27" s="28">
        <f t="shared" si="1"/>
      </c>
      <c r="L27" s="29"/>
      <c r="M27" s="139" t="s">
        <v>19</v>
      </c>
      <c r="N27" s="130"/>
      <c r="O27" s="261"/>
      <c r="P27" s="239"/>
      <c r="Q27" s="262"/>
      <c r="R27" s="163"/>
      <c r="S27" s="207" t="str">
        <f t="shared" si="5"/>
        <v>Turizmas ir mityba</v>
      </c>
      <c r="T27" s="32" t="b">
        <v>0</v>
      </c>
      <c r="V27" s="175">
        <f t="shared" si="10"/>
        <v>0</v>
      </c>
      <c r="W27" s="175">
        <f>IF((SUM($X$27:$X$30)=1),1,0)</f>
        <v>0</v>
      </c>
      <c r="X27" s="175">
        <f t="shared" si="11"/>
        <v>0</v>
      </c>
      <c r="Y27" s="175">
        <f t="shared" si="6"/>
      </c>
      <c r="Z27" s="175">
        <f t="shared" si="7"/>
        <v>0</v>
      </c>
      <c r="AA27" s="175">
        <f t="shared" si="8"/>
      </c>
      <c r="AB27" s="175">
        <f t="shared" si="9"/>
      </c>
    </row>
    <row r="28" spans="1:28" ht="16.5" customHeight="1">
      <c r="A28" s="249"/>
      <c r="B28" s="235"/>
      <c r="C28" s="267"/>
      <c r="D28" s="228" t="s">
        <v>106</v>
      </c>
      <c r="E28" s="229"/>
      <c r="F28" s="171"/>
      <c r="G28" s="172"/>
      <c r="H28" s="172"/>
      <c r="I28" s="183">
        <f>Y28</f>
      </c>
      <c r="J28" s="28">
        <f t="shared" si="1"/>
      </c>
      <c r="K28" s="28">
        <f t="shared" si="1"/>
      </c>
      <c r="L28" s="29"/>
      <c r="M28" s="143" t="s">
        <v>107</v>
      </c>
      <c r="N28" s="130"/>
      <c r="O28" s="261"/>
      <c r="P28" s="239"/>
      <c r="Q28" s="262"/>
      <c r="R28" s="163"/>
      <c r="S28" s="207" t="str">
        <f t="shared" si="5"/>
        <v>Statyba ir medžio apdirbimas</v>
      </c>
      <c r="T28" s="32" t="b">
        <v>0</v>
      </c>
      <c r="V28" s="175">
        <f t="shared" si="10"/>
        <v>0</v>
      </c>
      <c r="W28" s="175">
        <f>IF((SUM($X$27:$X$30)=1),1,0)</f>
        <v>0</v>
      </c>
      <c r="X28" s="175">
        <f t="shared" si="11"/>
        <v>0</v>
      </c>
      <c r="Y28" s="175">
        <f t="shared" si="6"/>
      </c>
      <c r="Z28" s="175">
        <f t="shared" si="7"/>
        <v>0</v>
      </c>
      <c r="AA28" s="175">
        <f t="shared" si="8"/>
      </c>
      <c r="AB28" s="175">
        <f t="shared" si="9"/>
      </c>
    </row>
    <row r="29" spans="1:28" ht="16.5" customHeight="1">
      <c r="A29" s="249"/>
      <c r="B29" s="235"/>
      <c r="C29" s="267"/>
      <c r="D29" s="227" t="s">
        <v>147</v>
      </c>
      <c r="E29" s="227"/>
      <c r="F29" s="171"/>
      <c r="G29" s="172"/>
      <c r="H29" s="172"/>
      <c r="I29" s="183">
        <f>Y29</f>
      </c>
      <c r="J29" s="28">
        <f>IF(AC29="",AA29,AC29)</f>
      </c>
      <c r="K29" s="28">
        <f>IF(AD29="",AB29,AD29)</f>
      </c>
      <c r="L29" s="214"/>
      <c r="M29" s="143" t="s">
        <v>107</v>
      </c>
      <c r="N29" s="130"/>
      <c r="O29" s="261"/>
      <c r="P29" s="239"/>
      <c r="Q29" s="262"/>
      <c r="R29" s="163"/>
      <c r="S29" s="207" t="str">
        <f>D29</f>
        <v>Grafinis dizainas</v>
      </c>
      <c r="T29" s="32" t="b">
        <v>0</v>
      </c>
      <c r="V29" s="175">
        <f>IF((W29=1)*(X29=1),1,0)</f>
        <v>0</v>
      </c>
      <c r="W29" s="175">
        <f>IF((SUM($X$27:$X$30)=1),1,0)</f>
        <v>0</v>
      </c>
      <c r="X29" s="175">
        <f>IF(T29,1,0)</f>
        <v>0</v>
      </c>
      <c r="Y29" s="175">
        <f>IF(Z29=4,"B","")</f>
      </c>
      <c r="Z29" s="175">
        <f>IF((T29=TRUE)*(W29=1),4,0)</f>
        <v>0</v>
      </c>
      <c r="AA29" s="175">
        <f>IF(Z29=4,2,"")</f>
      </c>
      <c r="AB29" s="175">
        <f>IF(Z29=4,2,"")</f>
      </c>
    </row>
    <row r="30" spans="1:28" ht="16.5" customHeight="1">
      <c r="A30" s="249"/>
      <c r="B30" s="235"/>
      <c r="C30" s="267"/>
      <c r="D30" s="227" t="s">
        <v>79</v>
      </c>
      <c r="E30" s="227"/>
      <c r="F30" s="78"/>
      <c r="G30" s="78"/>
      <c r="H30" s="78"/>
      <c r="I30" s="59">
        <f>Y30</f>
      </c>
      <c r="J30" s="60">
        <f t="shared" si="1"/>
      </c>
      <c r="K30" s="60">
        <f t="shared" si="1"/>
      </c>
      <c r="L30" s="79"/>
      <c r="M30" s="140" t="s">
        <v>19</v>
      </c>
      <c r="N30" s="130"/>
      <c r="O30" s="263"/>
      <c r="P30" s="264"/>
      <c r="Q30" s="265"/>
      <c r="R30" s="163"/>
      <c r="S30" s="207" t="str">
        <f t="shared" si="5"/>
        <v>Tekstilė ir apranga</v>
      </c>
      <c r="T30" s="32" t="b">
        <v>0</v>
      </c>
      <c r="V30" s="175">
        <f t="shared" si="10"/>
        <v>0</v>
      </c>
      <c r="W30" s="175">
        <f>IF((SUM($X$27:$X$30)=1),1,0)</f>
        <v>0</v>
      </c>
      <c r="X30" s="175">
        <f t="shared" si="11"/>
        <v>0</v>
      </c>
      <c r="Y30" s="175">
        <f t="shared" si="6"/>
      </c>
      <c r="Z30" s="175">
        <f t="shared" si="7"/>
        <v>0</v>
      </c>
      <c r="AA30" s="175">
        <f t="shared" si="8"/>
      </c>
      <c r="AB30" s="175">
        <f t="shared" si="9"/>
      </c>
    </row>
    <row r="31" spans="1:28" ht="16.5" customHeight="1">
      <c r="A31" s="249"/>
      <c r="B31" s="235">
        <v>8</v>
      </c>
      <c r="C31" s="222" t="s">
        <v>140</v>
      </c>
      <c r="D31" s="275" t="s">
        <v>142</v>
      </c>
      <c r="E31" s="275"/>
      <c r="F31" s="76"/>
      <c r="G31" s="76"/>
      <c r="H31" s="76"/>
      <c r="I31" s="26">
        <f t="shared" si="4"/>
      </c>
      <c r="J31" s="18">
        <f t="shared" si="1"/>
      </c>
      <c r="K31" s="18">
        <f t="shared" si="1"/>
      </c>
      <c r="L31" s="77"/>
      <c r="M31" s="141" t="s">
        <v>19</v>
      </c>
      <c r="N31" s="130"/>
      <c r="O31" s="239" t="str">
        <f>IF(SUM(X31:X33)=0,"Privaloma pasirinkti vieną kūno kultūros dalyką",IF(SUM(X31:X33)&gt;1,"Galima pasirinkti tik vieną kūno kultūros dalyką",""))</f>
        <v>Privaloma pasirinkti vieną kūno kultūros dalyką</v>
      </c>
      <c r="P31" s="239"/>
      <c r="Q31" s="239"/>
      <c r="R31" s="163"/>
      <c r="S31" s="207" t="str">
        <f t="shared" si="5"/>
        <v>Fizinis ugdymas</v>
      </c>
      <c r="T31" s="32" t="b">
        <v>0</v>
      </c>
      <c r="V31" s="175">
        <f>IF((W31=1)*(X31=1),1,0)</f>
        <v>0</v>
      </c>
      <c r="W31" s="175">
        <f>IF((SUM($X$31:$X$33)=1),1,0)</f>
        <v>0</v>
      </c>
      <c r="X31" s="175">
        <f t="shared" si="11"/>
        <v>0</v>
      </c>
      <c r="Y31" s="175">
        <f t="shared" si="6"/>
      </c>
      <c r="Z31" s="175">
        <f t="shared" si="7"/>
        <v>0</v>
      </c>
      <c r="AA31" s="175">
        <f t="shared" si="8"/>
      </c>
      <c r="AB31" s="175">
        <f t="shared" si="9"/>
      </c>
    </row>
    <row r="32" spans="1:28" ht="16.5" customHeight="1">
      <c r="A32" s="249"/>
      <c r="B32" s="235"/>
      <c r="C32" s="222"/>
      <c r="D32" s="223" t="s">
        <v>114</v>
      </c>
      <c r="E32" s="223"/>
      <c r="F32" s="23"/>
      <c r="G32" s="23"/>
      <c r="H32" s="23"/>
      <c r="I32" s="27">
        <f>Y32</f>
      </c>
      <c r="J32" s="28">
        <f>IF(AC32="",AA32,AC32)</f>
      </c>
      <c r="K32" s="28">
        <f>IF(AD32="",AB32,AD32)</f>
      </c>
      <c r="L32" s="29"/>
      <c r="M32" s="139" t="s">
        <v>19</v>
      </c>
      <c r="N32" s="130"/>
      <c r="O32" s="239"/>
      <c r="P32" s="239"/>
      <c r="Q32" s="239"/>
      <c r="R32" s="163"/>
      <c r="S32" s="207" t="str">
        <f>D32</f>
        <v>Sporto šaka (aerobika)</v>
      </c>
      <c r="T32" s="32" t="b">
        <v>0</v>
      </c>
      <c r="V32" s="175">
        <f>IF((W32=1)*(X32=1),1,0)</f>
        <v>0</v>
      </c>
      <c r="W32" s="175">
        <f>IF((SUM($X$31:$X$33)=1),1,0)</f>
        <v>0</v>
      </c>
      <c r="X32" s="175">
        <f>IF(T32,1,0)</f>
        <v>0</v>
      </c>
      <c r="Y32" s="175">
        <f>IF(Z32=4,"B","")</f>
      </c>
      <c r="Z32" s="175">
        <f>IF((T32=TRUE)*(W32=1),4,0)</f>
        <v>0</v>
      </c>
      <c r="AA32" s="175">
        <f>IF(Z32=4,2,"")</f>
      </c>
      <c r="AB32" s="175">
        <f>IF(Z32=4,2,"")</f>
      </c>
    </row>
    <row r="33" spans="1:28" ht="16.5" customHeight="1">
      <c r="A33" s="249"/>
      <c r="B33" s="235"/>
      <c r="C33" s="222"/>
      <c r="D33" s="227" t="s">
        <v>115</v>
      </c>
      <c r="E33" s="227"/>
      <c r="F33" s="178"/>
      <c r="G33" s="178"/>
      <c r="H33" s="178"/>
      <c r="I33" s="184">
        <f t="shared" si="4"/>
      </c>
      <c r="J33" s="60">
        <f t="shared" si="1"/>
      </c>
      <c r="K33" s="60">
        <f t="shared" si="1"/>
      </c>
      <c r="L33" s="191"/>
      <c r="M33" s="140" t="s">
        <v>19</v>
      </c>
      <c r="N33" s="130"/>
      <c r="O33" s="239"/>
      <c r="P33" s="239"/>
      <c r="Q33" s="239"/>
      <c r="R33" s="163"/>
      <c r="S33" s="207" t="str">
        <f t="shared" si="5"/>
        <v>Sportiniai šokiai</v>
      </c>
      <c r="T33" s="32" t="b">
        <v>0</v>
      </c>
      <c r="V33" s="175">
        <f>IF((W33=1)*(X33=1),1,0)</f>
        <v>0</v>
      </c>
      <c r="W33" s="175">
        <f>IF((SUM($X$31:$X$33)=1),1,0)</f>
        <v>0</v>
      </c>
      <c r="X33" s="175">
        <f t="shared" si="11"/>
        <v>0</v>
      </c>
      <c r="Y33" s="175">
        <f t="shared" si="6"/>
      </c>
      <c r="Z33" s="175">
        <f t="shared" si="7"/>
        <v>0</v>
      </c>
      <c r="AA33" s="175">
        <f t="shared" si="8"/>
      </c>
      <c r="AB33" s="175">
        <f t="shared" si="9"/>
      </c>
    </row>
    <row r="34" spans="1:28" ht="20.25" customHeight="1">
      <c r="A34" s="170"/>
      <c r="B34" s="278" t="s">
        <v>127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130"/>
      <c r="S34" s="207"/>
      <c r="V34" s="175"/>
      <c r="W34" s="175"/>
      <c r="X34" s="175"/>
      <c r="Z34" s="175"/>
      <c r="AA34" s="175"/>
      <c r="AB34" s="175"/>
    </row>
    <row r="35" spans="1:28" ht="13.5" customHeight="1">
      <c r="A35" s="170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30"/>
      <c r="S35" s="207"/>
      <c r="V35" s="175"/>
      <c r="W35" s="175"/>
      <c r="X35" s="175"/>
      <c r="Z35" s="175"/>
      <c r="AA35" s="175"/>
      <c r="AB35" s="175"/>
    </row>
    <row r="36" spans="1:24" ht="18" customHeight="1">
      <c r="A36" s="199"/>
      <c r="B36" s="252" t="s">
        <v>43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142"/>
      <c r="S36" s="207"/>
      <c r="V36" s="175"/>
      <c r="W36" s="175"/>
      <c r="X36" s="175"/>
    </row>
    <row r="37" spans="1:28" ht="16.5" customHeight="1">
      <c r="A37" s="199"/>
      <c r="B37" s="235">
        <v>9</v>
      </c>
      <c r="C37" s="222" t="s">
        <v>131</v>
      </c>
      <c r="D37" s="256" t="s">
        <v>37</v>
      </c>
      <c r="E37" s="256"/>
      <c r="F37" s="17"/>
      <c r="G37" s="17"/>
      <c r="H37" s="17"/>
      <c r="I37" s="26">
        <f aca="true" t="shared" si="12" ref="I37:I51">Y37</f>
      </c>
      <c r="J37" s="18">
        <f aca="true" t="shared" si="13" ref="J37:K39">AA37</f>
      </c>
      <c r="K37" s="18">
        <f t="shared" si="13"/>
      </c>
      <c r="L37" s="220"/>
      <c r="M37" s="221"/>
      <c r="N37" s="134"/>
      <c r="O37" s="234">
        <f>IF(SUM(X37:X39)&gt;1,"Galima pasirinkti tik vieną pasirenkamąją užsienio kalbą.","")</f>
      </c>
      <c r="P37" s="234"/>
      <c r="Q37" s="234"/>
      <c r="R37" s="164"/>
      <c r="S37" s="207" t="str">
        <f aca="true" t="shared" si="14" ref="S37:S51">D37</f>
        <v>Prancūzų kalba</v>
      </c>
      <c r="T37" s="32" t="b">
        <v>0</v>
      </c>
      <c r="U37" s="32" t="b">
        <v>0</v>
      </c>
      <c r="V37" s="182">
        <f>IF((T37+U37)*NOT(T37*U37),1,0)</f>
        <v>0</v>
      </c>
      <c r="W37" s="182">
        <f>IF((V37+V38+V39=1)*(X37+X38+X39=1)+(T37=FALSE)*(T38=FALSE)*(T39=FALSE)*(U37=FALSE)*(U38=FALSE)*(U39=FALSE),1,0)</f>
        <v>1</v>
      </c>
      <c r="X37" s="175">
        <f aca="true" t="shared" si="15" ref="X37:X44">IF((T37=U37)*(T37=TRUE)*(U37=TRUE),2,IF((T37=U37),0,1))</f>
        <v>0</v>
      </c>
      <c r="Y37" s="182">
        <f aca="true" t="shared" si="16" ref="Y37:Y43">IF(Z37=6,"L","")</f>
      </c>
      <c r="Z37" s="182">
        <f aca="true" t="shared" si="17" ref="Z37:Z44">IF((T37=TRUE)*(U37=FALSE)*(W37=1),4,IF((T37=FALSE)*(U37=TRUE)*(W37=1),6,0))</f>
        <v>0</v>
      </c>
      <c r="AA37" s="175">
        <f>IF(Z37=0,"",IF(Z37=4,2,3))</f>
      </c>
      <c r="AB37" s="175">
        <f>IF(Z37=0,"",IF(Z37=4,2,3))</f>
      </c>
    </row>
    <row r="38" spans="1:28" ht="16.5" customHeight="1">
      <c r="A38" s="199"/>
      <c r="B38" s="235"/>
      <c r="C38" s="222"/>
      <c r="D38" s="223" t="s">
        <v>35</v>
      </c>
      <c r="E38" s="223"/>
      <c r="F38" s="23"/>
      <c r="G38" s="23"/>
      <c r="H38" s="23"/>
      <c r="I38" s="27">
        <f t="shared" si="12"/>
      </c>
      <c r="J38" s="28">
        <f t="shared" si="13"/>
      </c>
      <c r="K38" s="28">
        <f t="shared" si="13"/>
      </c>
      <c r="L38" s="217"/>
      <c r="M38" s="218"/>
      <c r="N38" s="134"/>
      <c r="O38" s="234"/>
      <c r="P38" s="234"/>
      <c r="Q38" s="234"/>
      <c r="R38" s="164"/>
      <c r="S38" s="207" t="str">
        <f t="shared" si="14"/>
        <v>Rusų kalba</v>
      </c>
      <c r="T38" s="32" t="b">
        <v>0</v>
      </c>
      <c r="U38" s="32" t="b">
        <v>0</v>
      </c>
      <c r="V38" s="182">
        <f>IF((T38+U38)*NOT(T38*U38),1,0)</f>
        <v>0</v>
      </c>
      <c r="W38" s="182">
        <f>IF((V37+V38+V39=1)*(X37+X38+X39=1)+(T37=FALSE)*(T38=FALSE)*(T39=FALSE)*(U37=FALSE)*(U38=FALSE)*(U39=FALSE),1,0)</f>
        <v>1</v>
      </c>
      <c r="X38" s="175">
        <f t="shared" si="15"/>
        <v>0</v>
      </c>
      <c r="Y38" s="182">
        <f t="shared" si="16"/>
      </c>
      <c r="Z38" s="182">
        <f t="shared" si="17"/>
        <v>0</v>
      </c>
      <c r="AA38" s="175">
        <f>IF(Z38=0,"",IF(Z38=4,2,3))</f>
      </c>
      <c r="AB38" s="175">
        <f>IF(Z38=0,"",IF(Z38=4,2,3))</f>
      </c>
    </row>
    <row r="39" spans="1:28" ht="16.5" customHeight="1">
      <c r="A39" s="199"/>
      <c r="B39" s="235"/>
      <c r="C39" s="222"/>
      <c r="D39" s="275" t="s">
        <v>22</v>
      </c>
      <c r="E39" s="275"/>
      <c r="F39" s="20"/>
      <c r="G39" s="20"/>
      <c r="H39" s="20"/>
      <c r="I39" s="30">
        <f t="shared" si="12"/>
      </c>
      <c r="J39" s="21">
        <f t="shared" si="13"/>
      </c>
      <c r="K39" s="21">
        <f t="shared" si="13"/>
      </c>
      <c r="L39" s="269"/>
      <c r="M39" s="270"/>
      <c r="N39" s="134"/>
      <c r="O39" s="234"/>
      <c r="P39" s="234"/>
      <c r="Q39" s="234"/>
      <c r="R39" s="164"/>
      <c r="S39" s="207" t="str">
        <f t="shared" si="14"/>
        <v>Vokiečių kalba</v>
      </c>
      <c r="T39" s="32" t="b">
        <v>0</v>
      </c>
      <c r="U39" s="32" t="b">
        <v>0</v>
      </c>
      <c r="V39" s="182">
        <f>IF((T39+U39)*NOT(T39*U39),1,0)</f>
        <v>0</v>
      </c>
      <c r="W39" s="182">
        <f>IF((V37+V38+V39=1)*(X37+X38+X39=1)+(T37=FALSE)*(T38=FALSE)*(T39=FALSE)*(U37=FALSE)*(U38=FALSE)*(U39=FALSE),1,0)</f>
        <v>1</v>
      </c>
      <c r="X39" s="175">
        <f t="shared" si="15"/>
        <v>0</v>
      </c>
      <c r="Y39" s="182">
        <f t="shared" si="16"/>
      </c>
      <c r="Z39" s="182">
        <f t="shared" si="17"/>
        <v>0</v>
      </c>
      <c r="AA39" s="175">
        <f>IF(Z39=0,"",IF(Z39=4,2,3))</f>
      </c>
      <c r="AB39" s="175">
        <f>IF(Z39=0,"",IF(Z39=4,2,3))</f>
      </c>
    </row>
    <row r="40" spans="1:28" ht="16.5" customHeight="1">
      <c r="A40" s="199"/>
      <c r="B40" s="235">
        <v>10</v>
      </c>
      <c r="C40" s="222" t="s">
        <v>132</v>
      </c>
      <c r="D40" s="256" t="s">
        <v>37</v>
      </c>
      <c r="E40" s="256"/>
      <c r="F40" s="17"/>
      <c r="G40" s="17"/>
      <c r="H40" s="17"/>
      <c r="I40" s="26">
        <f>Y40</f>
      </c>
      <c r="J40" s="18">
        <f aca="true" t="shared" si="18" ref="J40:K44">AA40</f>
      </c>
      <c r="K40" s="18">
        <f t="shared" si="18"/>
      </c>
      <c r="L40" s="220"/>
      <c r="M40" s="221"/>
      <c r="N40" s="134"/>
      <c r="O40" s="234">
        <f>IF(SUM(X40:X44)&gt;1,"Galima pasirinkti tik vieną pasirenkamąją užsienio kalbą.","")</f>
      </c>
      <c r="P40" s="234"/>
      <c r="Q40" s="234"/>
      <c r="R40" s="164"/>
      <c r="S40" s="207" t="str">
        <f>D40</f>
        <v>Prancūzų kalba</v>
      </c>
      <c r="T40" s="32" t="b">
        <v>0</v>
      </c>
      <c r="U40" s="32" t="b">
        <v>0</v>
      </c>
      <c r="V40" s="182">
        <f>IF((T40+U40)*NOT(T40*U40),1,0)</f>
        <v>0</v>
      </c>
      <c r="W40" s="182">
        <f>IF((V40+V41+V44=1)*(X40+X41+X44=1)+(T40=FALSE)*(T41=FALSE)*(T44=FALSE)*(U40=FALSE)*(U41=FALSE)*(U44=FALSE),1,0)</f>
        <v>1</v>
      </c>
      <c r="X40" s="175">
        <f t="shared" si="15"/>
        <v>0</v>
      </c>
      <c r="Y40" s="182">
        <f t="shared" si="16"/>
      </c>
      <c r="Z40" s="182">
        <f t="shared" si="17"/>
        <v>0</v>
      </c>
      <c r="AA40" s="175">
        <f>IF(Z40=0,"",IF(Z40=4,2,2))</f>
      </c>
      <c r="AB40" s="175">
        <f>IF(Z40=0,"",IF(Z40=4,2,2))</f>
      </c>
    </row>
    <row r="41" spans="1:28" ht="16.5" customHeight="1">
      <c r="A41" s="199"/>
      <c r="B41" s="235"/>
      <c r="C41" s="222"/>
      <c r="D41" s="223" t="s">
        <v>35</v>
      </c>
      <c r="E41" s="223"/>
      <c r="F41" s="23"/>
      <c r="G41" s="23"/>
      <c r="H41" s="23"/>
      <c r="I41" s="27">
        <f>Y41</f>
      </c>
      <c r="J41" s="28">
        <f t="shared" si="18"/>
      </c>
      <c r="K41" s="28">
        <f t="shared" si="18"/>
      </c>
      <c r="L41" s="217"/>
      <c r="M41" s="218"/>
      <c r="N41" s="134"/>
      <c r="O41" s="234"/>
      <c r="P41" s="234"/>
      <c r="Q41" s="234"/>
      <c r="R41" s="164"/>
      <c r="S41" s="207" t="str">
        <f>D41</f>
        <v>Rusų kalba</v>
      </c>
      <c r="T41" s="32" t="b">
        <v>0</v>
      </c>
      <c r="U41" s="32" t="b">
        <v>0</v>
      </c>
      <c r="V41" s="182">
        <f>IF((T41+U41)*NOT(T41*U41),1,0)</f>
        <v>0</v>
      </c>
      <c r="W41" s="182">
        <f>IF((V40+V41+V44=1)*(X40+X41+X44=1)+(T40=FALSE)*(T41=FALSE)*(T44=FALSE)*(U40=FALSE)*(U41=FALSE)*(U44=FALSE),1,0)</f>
        <v>1</v>
      </c>
      <c r="X41" s="175">
        <f t="shared" si="15"/>
        <v>0</v>
      </c>
      <c r="Y41" s="182">
        <f t="shared" si="16"/>
      </c>
      <c r="Z41" s="182">
        <f t="shared" si="17"/>
        <v>0</v>
      </c>
      <c r="AA41" s="175">
        <f>IF(Z41=0,"",IF(Z41=4,2,2))</f>
      </c>
      <c r="AB41" s="175">
        <f>IF(Z41=0,"",IF(Z41=4,2,2))</f>
      </c>
    </row>
    <row r="42" spans="1:28" ht="16.5" customHeight="1">
      <c r="A42" s="199"/>
      <c r="B42" s="235"/>
      <c r="C42" s="222"/>
      <c r="D42" s="275" t="s">
        <v>22</v>
      </c>
      <c r="E42" s="275"/>
      <c r="F42" s="23"/>
      <c r="G42" s="23"/>
      <c r="H42" s="23"/>
      <c r="I42" s="27">
        <f>Y42</f>
      </c>
      <c r="J42" s="28">
        <f t="shared" si="18"/>
      </c>
      <c r="K42" s="28">
        <f t="shared" si="18"/>
      </c>
      <c r="L42" s="217"/>
      <c r="M42" s="218"/>
      <c r="N42" s="134"/>
      <c r="O42" s="234"/>
      <c r="P42" s="234"/>
      <c r="Q42" s="234"/>
      <c r="R42" s="164"/>
      <c r="S42" s="207" t="str">
        <f>D42</f>
        <v>Vokiečių kalba</v>
      </c>
      <c r="T42" s="32" t="b">
        <v>0</v>
      </c>
      <c r="U42" s="32" t="b">
        <v>0</v>
      </c>
      <c r="V42" s="182">
        <f>IF((T42+U42)*NOT(T42*U42),1,0)</f>
        <v>0</v>
      </c>
      <c r="W42" s="182">
        <f>IF((V39+V40+V42=1)*(X39+X40+X42=1)+(T39=FALSE)*(T40=FALSE)*(T42=FALSE)*(U39=FALSE)*(U40=FALSE)*(U42=FALSE),1,0)</f>
        <v>1</v>
      </c>
      <c r="X42" s="175">
        <f t="shared" si="15"/>
        <v>0</v>
      </c>
      <c r="Y42" s="182">
        <f t="shared" si="16"/>
      </c>
      <c r="Z42" s="182">
        <f t="shared" si="17"/>
        <v>0</v>
      </c>
      <c r="AA42" s="175">
        <f>IF(Z42=0,"",IF(Z42=4,2,2))</f>
      </c>
      <c r="AB42" s="175">
        <f>IF(Z42=0,"",IF(Z42=4,2,2))</f>
      </c>
    </row>
    <row r="43" spans="1:28" ht="16.5" customHeight="1">
      <c r="A43" s="199"/>
      <c r="B43" s="235"/>
      <c r="C43" s="222"/>
      <c r="D43" s="275" t="s">
        <v>141</v>
      </c>
      <c r="E43" s="275"/>
      <c r="F43" s="202"/>
      <c r="G43" s="202"/>
      <c r="H43" s="202"/>
      <c r="I43" s="27">
        <f>Y43</f>
      </c>
      <c r="J43" s="28">
        <f>AA43</f>
      </c>
      <c r="K43" s="28">
        <f>AB43</f>
      </c>
      <c r="L43" s="217"/>
      <c r="M43" s="218"/>
      <c r="N43" s="134"/>
      <c r="O43" s="234"/>
      <c r="P43" s="234"/>
      <c r="Q43" s="234"/>
      <c r="R43" s="164"/>
      <c r="S43" s="207" t="str">
        <f>D43</f>
        <v>Ispanų kalba</v>
      </c>
      <c r="T43" s="32" t="b">
        <v>0</v>
      </c>
      <c r="U43" s="32" t="b">
        <v>0</v>
      </c>
      <c r="V43" s="182">
        <f>IF((T43+U43)*NOT(T43*U43),1,0)</f>
        <v>0</v>
      </c>
      <c r="W43" s="182">
        <f>IF((V40+V41+V43=1)*(X40+X41+X43=1)+(T40=FALSE)*(T41=FALSE)*(T43=FALSE)*(U40=FALSE)*(U41=FALSE)*(U43=FALSE),1,0)</f>
        <v>1</v>
      </c>
      <c r="X43" s="175">
        <f t="shared" si="15"/>
        <v>0</v>
      </c>
      <c r="Y43" s="182">
        <f t="shared" si="16"/>
      </c>
      <c r="Z43" s="182">
        <f t="shared" si="17"/>
        <v>0</v>
      </c>
      <c r="AA43" s="175">
        <f>IF(Z43=0,"",IF(Z43=4,2,2))</f>
      </c>
      <c r="AB43" s="175">
        <f>IF(Z43=0,"",IF(Z43=4,2,2))</f>
      </c>
    </row>
    <row r="44" spans="1:28" ht="16.5" customHeight="1">
      <c r="A44" s="199"/>
      <c r="B44" s="235"/>
      <c r="C44" s="222"/>
      <c r="D44" s="275" t="s">
        <v>118</v>
      </c>
      <c r="E44" s="275"/>
      <c r="F44" s="178"/>
      <c r="G44" s="178"/>
      <c r="H44" s="178"/>
      <c r="I44" s="184">
        <f>Y44</f>
      </c>
      <c r="J44" s="60">
        <f t="shared" si="18"/>
      </c>
      <c r="K44" s="60">
        <f t="shared" si="18"/>
      </c>
      <c r="L44" s="269"/>
      <c r="M44" s="270"/>
      <c r="N44" s="134"/>
      <c r="O44" s="234"/>
      <c r="P44" s="234"/>
      <c r="Q44" s="234"/>
      <c r="R44" s="164"/>
      <c r="S44" s="207" t="str">
        <f>D44</f>
        <v>Lotynų kalba</v>
      </c>
      <c r="T44" s="32" t="b">
        <v>0</v>
      </c>
      <c r="U44" s="32" t="b">
        <v>0</v>
      </c>
      <c r="V44" s="182">
        <f>IF((T44+U44)*NOT(T44*U44),1,0)</f>
        <v>0</v>
      </c>
      <c r="W44" s="182">
        <f>IF((V40+V41+V44=1)*(X40+X41+X44=1)+(T40=FALSE)*(T41=FALSE)*(T44=FALSE)*(U40=FALSE)*(U41=FALSE)*(U44=FALSE),1,0)</f>
        <v>1</v>
      </c>
      <c r="X44" s="175">
        <f t="shared" si="15"/>
        <v>0</v>
      </c>
      <c r="Y44" s="182">
        <f>IF(Z44=6,"L","")</f>
      </c>
      <c r="Z44" s="182">
        <f t="shared" si="17"/>
        <v>0</v>
      </c>
      <c r="AA44" s="175">
        <f>IF(Z44=0,"",IF(Z44=4,1,1))</f>
      </c>
      <c r="AB44" s="175">
        <f>IF(Z44=0,"",IF(Z44=4,1,1))</f>
      </c>
    </row>
    <row r="45" spans="1:28" ht="16.5" customHeight="1">
      <c r="A45" s="199"/>
      <c r="B45" s="235">
        <v>11</v>
      </c>
      <c r="C45" s="222" t="s">
        <v>36</v>
      </c>
      <c r="D45" s="256" t="s">
        <v>36</v>
      </c>
      <c r="E45" s="256"/>
      <c r="F45" s="55"/>
      <c r="G45" s="55"/>
      <c r="H45" s="55"/>
      <c r="I45" s="81">
        <f t="shared" si="12"/>
      </c>
      <c r="J45" s="80">
        <f>AA45</f>
      </c>
      <c r="K45" s="80">
        <f>AB45</f>
      </c>
      <c r="L45" s="56"/>
      <c r="M45" s="143" t="s">
        <v>19</v>
      </c>
      <c r="N45" s="134"/>
      <c r="O45" s="266">
        <f>IF(X45=2,"Galima rinktis tik A arba B kursą",IF(X45=3,"Galima rinktis tik vieną A kursą",IF(AB46=2,"PASTABA: patariama pasirinkti programavimo praktikumą","")))</f>
      </c>
      <c r="P45" s="266"/>
      <c r="Q45" s="266"/>
      <c r="S45" s="207" t="str">
        <f t="shared" si="14"/>
        <v>Informacinės technologijos</v>
      </c>
      <c r="T45" s="32" t="b">
        <v>0</v>
      </c>
      <c r="V45" s="208">
        <f>IF(T45,1,0)</f>
        <v>0</v>
      </c>
      <c r="W45" s="257">
        <f>IF(SUM(V45:V47)=1,1,0)</f>
        <v>0</v>
      </c>
      <c r="X45" s="257">
        <f>IF(V45=1,(IF(SUM(V46:V47)&gt;0,2,1)),(IF(SUM(V46:V47)=1,1,IF(SUM(V46:V47)=0,0,3))))</f>
        <v>0</v>
      </c>
      <c r="Y45" s="175">
        <f>IF(Z45=2,"B",IF(Z45=4,"A",""))</f>
      </c>
      <c r="Z45" s="175">
        <f>IF($W$45,IF($T$45,2,0),0)</f>
        <v>0</v>
      </c>
      <c r="AA45" s="175">
        <f>IF(Z45=0,"",IF(Z45=2,1,2))</f>
      </c>
      <c r="AB45" s="175">
        <f>IF(Z45=0,"",IF(Z45=4,2,1))</f>
      </c>
    </row>
    <row r="46" spans="1:28" ht="16.5" customHeight="1">
      <c r="A46" s="199"/>
      <c r="B46" s="235"/>
      <c r="C46" s="222"/>
      <c r="D46" s="223" t="s">
        <v>116</v>
      </c>
      <c r="E46" s="223"/>
      <c r="F46" s="23"/>
      <c r="G46" s="23"/>
      <c r="H46" s="23"/>
      <c r="I46" s="27">
        <f t="shared" si="12"/>
      </c>
      <c r="J46" s="28">
        <f aca="true" t="shared" si="19" ref="J46:K53">AA46</f>
      </c>
      <c r="K46" s="28">
        <f t="shared" si="19"/>
      </c>
      <c r="L46" s="31" t="s">
        <v>19</v>
      </c>
      <c r="M46" s="138"/>
      <c r="N46" s="134"/>
      <c r="O46" s="266"/>
      <c r="P46" s="266"/>
      <c r="Q46" s="266"/>
      <c r="S46" s="207" t="str">
        <f t="shared" si="14"/>
        <v>Programavimas</v>
      </c>
      <c r="U46" s="32" t="b">
        <v>0</v>
      </c>
      <c r="V46" s="208">
        <f>IF(U46,1,0)</f>
        <v>0</v>
      </c>
      <c r="W46" s="257"/>
      <c r="X46" s="257"/>
      <c r="Y46" s="175">
        <f>IF(Z46=2,"B",IF(Z46=4,"A",""))</f>
      </c>
      <c r="Z46" s="175">
        <f>IF($W$45,IF(AND($T$45=FALSE,U46),4,0),0)</f>
        <v>0</v>
      </c>
      <c r="AA46" s="175">
        <f>IF(Z46=0,"",IF(Z46=2,1,2))</f>
      </c>
      <c r="AB46" s="175">
        <f>IF(Z46=0,"",IF(Z46=4,2,1))</f>
      </c>
    </row>
    <row r="47" spans="1:28" ht="16.5" customHeight="1">
      <c r="A47" s="200"/>
      <c r="B47" s="235"/>
      <c r="C47" s="222"/>
      <c r="D47" s="223" t="s">
        <v>117</v>
      </c>
      <c r="E47" s="223"/>
      <c r="F47" s="23"/>
      <c r="G47" s="23"/>
      <c r="H47" s="23"/>
      <c r="I47" s="27">
        <f t="shared" si="12"/>
      </c>
      <c r="J47" s="28">
        <f t="shared" si="19"/>
      </c>
      <c r="K47" s="28">
        <f t="shared" si="19"/>
      </c>
      <c r="L47" s="197" t="s">
        <v>19</v>
      </c>
      <c r="M47" s="198"/>
      <c r="N47" s="134"/>
      <c r="O47" s="266"/>
      <c r="P47" s="266"/>
      <c r="Q47" s="266"/>
      <c r="S47" s="207" t="str">
        <f t="shared" si="14"/>
        <v>Elektroninė leidyba</v>
      </c>
      <c r="U47" s="32" t="b">
        <v>0</v>
      </c>
      <c r="V47" s="208">
        <f>IF(U47,1,0)</f>
        <v>0</v>
      </c>
      <c r="W47" s="257"/>
      <c r="X47" s="257"/>
      <c r="Y47" s="175">
        <f>IF(Z47=2,"B",IF(Z47=4,"A",""))</f>
      </c>
      <c r="Z47" s="175">
        <f>IF($W$45,IF(AND($T$45=FALSE,U47),4,0),0)</f>
        <v>0</v>
      </c>
      <c r="AA47" s="175">
        <f>IF(Z47=0,"",IF(Z47=2,1,2))</f>
      </c>
      <c r="AB47" s="175">
        <f>IF(Z47=0,"",IF(Z47=4,2,1))</f>
      </c>
    </row>
    <row r="48" spans="1:28" ht="16.5" customHeight="1">
      <c r="A48" s="199"/>
      <c r="B48" s="235">
        <v>12</v>
      </c>
      <c r="C48" s="222" t="s">
        <v>119</v>
      </c>
      <c r="D48" s="256" t="s">
        <v>98</v>
      </c>
      <c r="E48" s="256"/>
      <c r="F48" s="17"/>
      <c r="G48" s="17"/>
      <c r="H48" s="17"/>
      <c r="I48" s="26">
        <f t="shared" si="12"/>
      </c>
      <c r="J48" s="18">
        <f t="shared" si="19"/>
      </c>
      <c r="K48" s="18">
        <f t="shared" si="19"/>
      </c>
      <c r="L48" s="220"/>
      <c r="M48" s="221"/>
      <c r="N48" s="134"/>
      <c r="O48" s="234">
        <f>IF(SUM(X48:X51)&gt;1,"","")</f>
      </c>
      <c r="P48" s="234"/>
      <c r="Q48" s="234"/>
      <c r="R48" s="164"/>
      <c r="S48" s="207" t="str">
        <f t="shared" si="14"/>
        <v>Teisė</v>
      </c>
      <c r="T48" s="32" t="b">
        <v>0</v>
      </c>
      <c r="U48" s="32" t="b">
        <v>0</v>
      </c>
      <c r="V48" s="182">
        <f>IF((T48+U48)*NOT(T48*U48),1,0)</f>
        <v>0</v>
      </c>
      <c r="W48" s="182">
        <f>IF((V48+V49+V51=1)*(X48+X49+X51=1)+(T48=FALSE)*(T49=FALSE)*(T51=FALSE)*(U48=FALSE)*(U49=FALSE)*(U51=FALSE),1,1)</f>
        <v>1</v>
      </c>
      <c r="X48" s="175">
        <f>IF((T48=U48)*(T48=TRUE)*(U48=TRUE),2,IF((T48=U48),0,1))</f>
        <v>0</v>
      </c>
      <c r="Y48" s="182">
        <f>IF(Z48=6,"P","")</f>
      </c>
      <c r="Z48" s="182">
        <f>IF((T48=TRUE)*(U48=FALSE)*(W48=1),4,IF((T48=FALSE)*(U48=TRUE)*(W48=1),6,0))</f>
        <v>0</v>
      </c>
      <c r="AA48" s="175">
        <f>IF(Z48=0,"",IF(Z48=4,1,1))</f>
      </c>
      <c r="AB48" s="175">
        <f>IF(Z48=0,"",IF(Z48=4,1,1))</f>
      </c>
    </row>
    <row r="49" spans="1:28" ht="16.5" customHeight="1">
      <c r="A49" s="199"/>
      <c r="B49" s="235"/>
      <c r="C49" s="222"/>
      <c r="D49" s="223" t="s">
        <v>38</v>
      </c>
      <c r="E49" s="223"/>
      <c r="F49" s="23"/>
      <c r="G49" s="23"/>
      <c r="H49" s="23"/>
      <c r="I49" s="27">
        <f t="shared" si="12"/>
      </c>
      <c r="J49" s="28">
        <f t="shared" si="19"/>
      </c>
      <c r="K49" s="28">
        <f t="shared" si="19"/>
      </c>
      <c r="L49" s="217"/>
      <c r="M49" s="218"/>
      <c r="N49" s="134"/>
      <c r="O49" s="234"/>
      <c r="P49" s="234"/>
      <c r="Q49" s="234"/>
      <c r="R49" s="164"/>
      <c r="S49" s="207" t="str">
        <f t="shared" si="14"/>
        <v>Psichologija</v>
      </c>
      <c r="T49" s="32" t="b">
        <v>0</v>
      </c>
      <c r="U49" s="32" t="b">
        <v>0</v>
      </c>
      <c r="V49" s="182">
        <f>IF((T49+U49)*NOT(T49*U49),1,0)</f>
        <v>0</v>
      </c>
      <c r="W49" s="182">
        <f>IF((V48+V49+V51=1)*(X48+X49+X51=1)+(T48=FALSE)*(T49=FALSE)*(T51=FALSE)*(U48=FALSE)*(U49=FALSE)*(U51=FALSE),1,1)</f>
        <v>1</v>
      </c>
      <c r="X49" s="175">
        <f>IF((T49=U49)*(T49=TRUE)*(U49=TRUE),2,IF((T49=U49),0,1))</f>
        <v>0</v>
      </c>
      <c r="Y49" s="182">
        <f>IF(Z49=6,"P","")</f>
      </c>
      <c r="Z49" s="182">
        <f>IF((T49=TRUE)*(U49=FALSE)*(W49=1),4,IF((T49=FALSE)*(U49=TRUE)*(W49=1),6,0))</f>
        <v>0</v>
      </c>
      <c r="AA49" s="175">
        <f>IF(Z49=0,"",IF(Z49=4,1,1))</f>
      </c>
      <c r="AB49" s="175">
        <f>IF(Z49=0,"",IF(Z49=4,1,1))</f>
      </c>
    </row>
    <row r="50" spans="1:28" ht="16.5" customHeight="1">
      <c r="A50" s="199"/>
      <c r="B50" s="235"/>
      <c r="C50" s="222"/>
      <c r="D50" s="223" t="s">
        <v>133</v>
      </c>
      <c r="E50" s="223"/>
      <c r="F50" s="23"/>
      <c r="G50" s="23"/>
      <c r="H50" s="23"/>
      <c r="I50" s="27">
        <f>Y50</f>
      </c>
      <c r="J50" s="28">
        <f>AA50</f>
      </c>
      <c r="K50" s="28">
        <f>AB50</f>
      </c>
      <c r="L50" s="217"/>
      <c r="M50" s="218"/>
      <c r="N50" s="134"/>
      <c r="O50" s="234"/>
      <c r="P50" s="234"/>
      <c r="Q50" s="234"/>
      <c r="R50" s="164"/>
      <c r="S50" s="207" t="str">
        <f>D50</f>
        <v>Filosofija</v>
      </c>
      <c r="T50" s="32" t="b">
        <v>0</v>
      </c>
      <c r="U50" s="32" t="b">
        <v>0</v>
      </c>
      <c r="V50" s="182">
        <f>IF((T50+U50)*NOT(T50*U50),1,0)</f>
        <v>0</v>
      </c>
      <c r="W50" s="182">
        <f>IF((V49+V50+V52=1)*(X49+X50+X52=1)+(T49=FALSE)*(T50=FALSE)*(T52=FALSE)*(U49=FALSE)*(U50=FALSE)*(U52=FALSE),1,1)</f>
        <v>1</v>
      </c>
      <c r="X50" s="175">
        <f>IF((T50=U50)*(T50=TRUE)*(U50=TRUE),2,IF((T50=U50),0,1))</f>
        <v>0</v>
      </c>
      <c r="Y50" s="182">
        <f>IF(Z50=6,"P","")</f>
      </c>
      <c r="Z50" s="182">
        <f>IF((T50=TRUE)*(U50=FALSE)*(W50=1),4,IF((T50=FALSE)*(U50=TRUE)*(W50=1),6,0))</f>
        <v>0</v>
      </c>
      <c r="AA50" s="175">
        <f>IF(Z50=0,"",IF(Z50=4,1,1))</f>
      </c>
      <c r="AB50" s="175">
        <f>IF(Z50=0,"",IF(Z50=4,1,1))</f>
      </c>
    </row>
    <row r="51" spans="1:28" ht="16.5" customHeight="1">
      <c r="A51" s="199"/>
      <c r="B51" s="235"/>
      <c r="C51" s="222"/>
      <c r="D51" s="279" t="s">
        <v>134</v>
      </c>
      <c r="E51" s="280"/>
      <c r="F51" s="178"/>
      <c r="G51" s="178"/>
      <c r="H51" s="178"/>
      <c r="I51" s="184">
        <f t="shared" si="12"/>
      </c>
      <c r="J51" s="60">
        <f t="shared" si="19"/>
      </c>
      <c r="K51" s="60">
        <f t="shared" si="19"/>
      </c>
      <c r="L51" s="201"/>
      <c r="M51" s="140" t="s">
        <v>19</v>
      </c>
      <c r="N51" s="134"/>
      <c r="O51" s="234"/>
      <c r="P51" s="234"/>
      <c r="Q51" s="234"/>
      <c r="R51" s="164"/>
      <c r="S51" s="207" t="str">
        <f t="shared" si="14"/>
        <v>Verslas, vadyba ir mažmeninė prekyba</v>
      </c>
      <c r="T51" s="32" t="b">
        <v>0</v>
      </c>
      <c r="U51" s="32" t="b">
        <v>0</v>
      </c>
      <c r="V51" s="182">
        <f>IF((T51+U51)*NOT(T51*U51),1,0)</f>
        <v>0</v>
      </c>
      <c r="W51" s="182">
        <f>IF((V48+V49+V51=1)*(X48+X49+X51=1)+(T48=FALSE)*(T49=FALSE)*(T51=FALSE)*(U48=FALSE)*(U49=FALSE)*(U51=FALSE),1,1)</f>
        <v>1</v>
      </c>
      <c r="X51" s="175">
        <f>IF((T51=U51)*(T51=TRUE)*(U51=TRUE),2,IF((T51=U51),0,1))</f>
        <v>0</v>
      </c>
      <c r="Y51" s="182">
        <f>IF(Z51=6,"B","")</f>
      </c>
      <c r="Z51" s="182">
        <f>IF((T51=TRUE)*(U51=FALSE)*(W51=1),4,IF((T51=FALSE)*(U51=TRUE)*(W51=1),6,0))</f>
        <v>0</v>
      </c>
      <c r="AA51" s="175">
        <f>IF(Z51=0,"",IF(Z51=4,2,2))</f>
      </c>
      <c r="AB51" s="175">
        <f>IF(Z51=0,"",IF(Z51=4,2,2))</f>
      </c>
    </row>
    <row r="52" spans="1:28" ht="16.5" customHeight="1">
      <c r="A52" s="199"/>
      <c r="B52" s="235">
        <v>13</v>
      </c>
      <c r="C52" s="222"/>
      <c r="D52" s="219" t="s">
        <v>144</v>
      </c>
      <c r="E52" s="219"/>
      <c r="F52" s="17"/>
      <c r="G52" s="17"/>
      <c r="H52" s="17"/>
      <c r="I52" s="26">
        <f>Y52</f>
      </c>
      <c r="J52" s="18">
        <f t="shared" si="19"/>
      </c>
      <c r="K52" s="18">
        <f t="shared" si="19"/>
      </c>
      <c r="L52" s="217"/>
      <c r="M52" s="218"/>
      <c r="N52" s="134"/>
      <c r="O52" s="266"/>
      <c r="P52" s="266"/>
      <c r="Q52" s="266"/>
      <c r="S52" s="207" t="str">
        <f>D52</f>
        <v>Elektronika</v>
      </c>
      <c r="T52" s="32" t="b">
        <v>0</v>
      </c>
      <c r="V52" s="208">
        <f>IF(T52,1,0)</f>
        <v>0</v>
      </c>
      <c r="W52" s="208" t="b">
        <f>IF(SUM(V52:V52)=1,TRUE,TRUE)</f>
        <v>1</v>
      </c>
      <c r="X52" s="257">
        <v>3</v>
      </c>
      <c r="Y52" s="175">
        <f>IF(Z52=2,"P",IF(Z52=4,"A",""))</f>
      </c>
      <c r="Z52" s="175">
        <f>IF($W$52,IF($T$52,2,0),0)</f>
        <v>0</v>
      </c>
      <c r="AA52" s="175">
        <f>IF(Z52=0,"",IF(Z52=2,1,2))</f>
      </c>
      <c r="AB52" s="175">
        <f>IF(Z52=0,"",IF(Z52=4,2,1))</f>
      </c>
    </row>
    <row r="53" spans="1:28" ht="16.5" customHeight="1">
      <c r="A53" s="199"/>
      <c r="B53" s="235"/>
      <c r="C53" s="222"/>
      <c r="D53" s="227" t="s">
        <v>120</v>
      </c>
      <c r="E53" s="227"/>
      <c r="F53" s="178"/>
      <c r="G53" s="178"/>
      <c r="H53" s="178"/>
      <c r="I53" s="184">
        <f>Y53</f>
      </c>
      <c r="J53" s="60">
        <f t="shared" si="19"/>
      </c>
      <c r="K53" s="60">
        <f t="shared" si="19"/>
      </c>
      <c r="L53" s="191"/>
      <c r="M53" s="140" t="s">
        <v>19</v>
      </c>
      <c r="N53" s="134"/>
      <c r="O53" s="266"/>
      <c r="P53" s="266"/>
      <c r="Q53" s="266"/>
      <c r="S53" s="207" t="str">
        <f>D53</f>
        <v>Biotechnologijos</v>
      </c>
      <c r="T53" s="32" t="b">
        <v>0</v>
      </c>
      <c r="V53" s="208">
        <f>IF(T53,1,0)</f>
        <v>0</v>
      </c>
      <c r="W53" s="208" t="b">
        <f>IF(SUM(V53:V53)=1,TRUE,TRUE)</f>
        <v>1</v>
      </c>
      <c r="X53" s="257"/>
      <c r="Y53" s="175">
        <f>IF(Z53=2,"B",IF(Z53=4,"A",""))</f>
      </c>
      <c r="Z53" s="175">
        <f>IF($W$53,IF($T$53,2,0),0)</f>
        <v>0</v>
      </c>
      <c r="AA53" s="175">
        <f>IF(Z53=0,"",IF(Z53=2,1,2))</f>
      </c>
      <c r="AB53" s="175">
        <f>IF(Z53=0,"",IF(Z53=4,2,1))</f>
      </c>
    </row>
    <row r="54" spans="2:28" ht="16.5" customHeight="1"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S54" s="207">
        <f>C54</f>
        <v>0</v>
      </c>
      <c r="T54" s="32" t="b">
        <v>0</v>
      </c>
      <c r="V54" s="182">
        <f>IF(T54,1,0)</f>
        <v>0</v>
      </c>
      <c r="W54" s="175"/>
      <c r="X54" s="175"/>
      <c r="Y54" s="175">
        <f>IF(Z54=2,"L","")</f>
      </c>
      <c r="Z54" s="175">
        <f>IF(T54=TRUE,2,0)</f>
        <v>0</v>
      </c>
      <c r="AA54" s="175">
        <f>IF(Z54=2,2,"")</f>
      </c>
      <c r="AB54" s="175">
        <f>IF(Z54=2,2,"")</f>
      </c>
    </row>
    <row r="55" spans="1:28" ht="18.75" customHeight="1">
      <c r="A55" s="32"/>
      <c r="B55" s="252" t="s">
        <v>44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128"/>
      <c r="N55" s="128"/>
      <c r="S55" s="207"/>
      <c r="V55" s="175"/>
      <c r="W55" s="175"/>
      <c r="X55" s="175"/>
      <c r="Z55" s="175"/>
      <c r="AA55" s="175"/>
      <c r="AB55" s="175"/>
    </row>
    <row r="56" spans="2:28" ht="22.5" customHeight="1">
      <c r="B56" s="106">
        <v>14</v>
      </c>
      <c r="C56" s="92" t="s">
        <v>24</v>
      </c>
      <c r="D56" s="283" t="s">
        <v>124</v>
      </c>
      <c r="E56" s="284"/>
      <c r="F56" s="57"/>
      <c r="G56" s="57"/>
      <c r="H56" s="57"/>
      <c r="I56" s="84">
        <f>Y56</f>
      </c>
      <c r="J56" s="140" t="s">
        <v>19</v>
      </c>
      <c r="K56" s="85">
        <f>AB56</f>
      </c>
      <c r="L56" s="86"/>
      <c r="M56" s="144"/>
      <c r="N56" s="145"/>
      <c r="O56" s="239">
        <f>IF(AND(V56=1,NOT(U$18)),"Turite pasirinkti GEOGRAFIJOS A kursą","")</f>
      </c>
      <c r="P56" s="239"/>
      <c r="Q56" s="239"/>
      <c r="S56" s="181" t="str">
        <f>D56</f>
        <v>Įdomioji geografija</v>
      </c>
      <c r="T56" s="32" t="b">
        <v>0</v>
      </c>
      <c r="V56" s="175">
        <f>IF(T56,1,0)</f>
        <v>0</v>
      </c>
      <c r="X56" s="182">
        <f>IF(U$18,V56,0)</f>
        <v>0</v>
      </c>
      <c r="Y56" s="182">
        <f>IF(Z56=2,"M","")</f>
      </c>
      <c r="Z56" s="175">
        <f>IF(V56+X56=2,2,0)</f>
        <v>0</v>
      </c>
      <c r="AA56" s="175">
        <f>IF(Z56=2,0,"")</f>
      </c>
      <c r="AB56" s="175">
        <f>IF(Z56=2,1,"")</f>
      </c>
    </row>
    <row r="57" spans="2:28" ht="25.5" customHeight="1">
      <c r="B57" s="106">
        <v>15</v>
      </c>
      <c r="C57" s="100" t="s">
        <v>27</v>
      </c>
      <c r="D57" s="274" t="s">
        <v>121</v>
      </c>
      <c r="E57" s="274"/>
      <c r="F57" s="24"/>
      <c r="G57" s="24"/>
      <c r="H57" s="24"/>
      <c r="I57" s="39">
        <f>Y57</f>
      </c>
      <c r="J57" s="140" t="s">
        <v>19</v>
      </c>
      <c r="K57" s="25">
        <f>AB57</f>
      </c>
      <c r="L57" s="37"/>
      <c r="M57" s="144"/>
      <c r="N57" s="145"/>
      <c r="O57" s="239">
        <f>IF(AND(T57,NOT(U$20)),"Turite pasirinkti BIOLOGIJOS A kursą","")</f>
      </c>
      <c r="P57" s="239"/>
      <c r="Q57" s="239"/>
      <c r="S57" s="181" t="str">
        <f>D57</f>
        <v>Biologijos subtilybės</v>
      </c>
      <c r="T57" s="32" t="b">
        <v>0</v>
      </c>
      <c r="V57" s="175">
        <f>IF(AND(T57,X57=1),1,0)</f>
        <v>0</v>
      </c>
      <c r="X57" s="182">
        <f>IF(U$20,1,0)</f>
        <v>0</v>
      </c>
      <c r="Y57" s="182">
        <f>IF(Z57=2,"M","")</f>
      </c>
      <c r="Z57" s="175">
        <f>IF(AND(V57+X57=2),2,0)</f>
        <v>0</v>
      </c>
      <c r="AA57" s="175">
        <f>IF(Z57=2,0,"")</f>
      </c>
      <c r="AB57" s="175">
        <f>IF(Z57=2,1,"")</f>
      </c>
    </row>
    <row r="58" spans="1:28" s="32" customFormat="1" ht="22.5" customHeight="1">
      <c r="A58" s="2"/>
      <c r="B58" s="106">
        <v>16</v>
      </c>
      <c r="C58" s="40" t="s">
        <v>29</v>
      </c>
      <c r="D58" s="253" t="s">
        <v>122</v>
      </c>
      <c r="E58" s="253"/>
      <c r="F58" s="24"/>
      <c r="G58" s="24"/>
      <c r="H58" s="24"/>
      <c r="I58" s="39">
        <f>Y58</f>
      </c>
      <c r="J58" s="140" t="s">
        <v>19</v>
      </c>
      <c r="K58" s="25">
        <f>AB58</f>
      </c>
      <c r="L58" s="37"/>
      <c r="M58" s="48"/>
      <c r="N58" s="180"/>
      <c r="O58" s="271">
        <f>IF(AND(T58,NOT(U$21)),"Turite pasirinkti CHEMIJOS A kursą","")</f>
      </c>
      <c r="P58" s="271"/>
      <c r="Q58" s="271"/>
      <c r="R58" s="6"/>
      <c r="S58" s="181" t="str">
        <f>D58</f>
        <v>Eksperimentinė chemija</v>
      </c>
      <c r="T58" s="32" t="b">
        <v>0</v>
      </c>
      <c r="V58" s="175">
        <f>IF(AND(T58,X58=1),1,0)</f>
        <v>0</v>
      </c>
      <c r="X58" s="182">
        <f>IF(U$21,1,0)</f>
        <v>0</v>
      </c>
      <c r="Y58" s="182">
        <f>IF(Z58=2,"M","")</f>
      </c>
      <c r="Z58" s="175">
        <f>IF(AND(V58+X58=2),2,0)</f>
        <v>0</v>
      </c>
      <c r="AA58" s="175">
        <f>IF(Z58=2,0,"")</f>
      </c>
      <c r="AB58" s="175">
        <f>IF(Z58=2,1,"")</f>
      </c>
    </row>
    <row r="59" spans="2:28" ht="22.5" customHeight="1">
      <c r="B59" s="106">
        <v>17</v>
      </c>
      <c r="C59" s="62" t="s">
        <v>28</v>
      </c>
      <c r="D59" s="272" t="s">
        <v>123</v>
      </c>
      <c r="E59" s="273"/>
      <c r="F59" s="17"/>
      <c r="G59" s="17"/>
      <c r="H59" s="17"/>
      <c r="I59" s="38">
        <f>Y59</f>
      </c>
      <c r="J59" s="140" t="s">
        <v>19</v>
      </c>
      <c r="K59" s="18">
        <f>AB59</f>
      </c>
      <c r="L59" s="99"/>
      <c r="M59" s="144"/>
      <c r="N59" s="145"/>
      <c r="O59" s="239">
        <f>IF(AND(V59=1,NOT(U$22)),"Turite pasirinkti FIZIKOS A kursą","")</f>
      </c>
      <c r="P59" s="239"/>
      <c r="Q59" s="239"/>
      <c r="S59" s="181" t="str">
        <f>D59</f>
        <v>Rinktiniai fizikos uždaviniai</v>
      </c>
      <c r="T59" s="32" t="b">
        <v>0</v>
      </c>
      <c r="V59" s="175">
        <f>IF(T59,1,0)</f>
        <v>0</v>
      </c>
      <c r="X59" s="182">
        <f>IF(U$22,1,0)</f>
        <v>0</v>
      </c>
      <c r="Y59" s="182">
        <f>IF(Z59=2,"M","")</f>
      </c>
      <c r="Z59" s="175">
        <f>IF(AND(V59+X59=2),2,0)</f>
        <v>0</v>
      </c>
      <c r="AA59" s="175">
        <f>IF(Z59=2,0,"")</f>
      </c>
      <c r="AB59" s="175">
        <f>IF(Z59=2,1,"")</f>
      </c>
    </row>
    <row r="60" spans="2:28" ht="27.75" customHeight="1">
      <c r="B60" s="106">
        <v>18</v>
      </c>
      <c r="C60" s="40" t="s">
        <v>36</v>
      </c>
      <c r="D60" s="285" t="s">
        <v>83</v>
      </c>
      <c r="E60" s="285"/>
      <c r="F60" s="24"/>
      <c r="G60" s="24"/>
      <c r="H60" s="24"/>
      <c r="I60" s="39">
        <f>Y60</f>
      </c>
      <c r="J60" s="25"/>
      <c r="K60" s="25">
        <f>AB60</f>
      </c>
      <c r="L60" s="37"/>
      <c r="M60" s="195"/>
      <c r="N60" s="145"/>
      <c r="O60" s="239">
        <f>IF(AND(V60=1,NOT(U$46)),"Turite pasirinkti IT (programavimas) A kursą","")</f>
      </c>
      <c r="P60" s="239"/>
      <c r="Q60" s="239"/>
      <c r="S60" s="181" t="str">
        <f>D60</f>
        <v>Pogramavimo praktikumas</v>
      </c>
      <c r="T60" s="32" t="b">
        <v>0</v>
      </c>
      <c r="V60" s="175">
        <f>IF(T60,1,0)</f>
        <v>0</v>
      </c>
      <c r="X60" s="182">
        <f>V46+V60</f>
        <v>0</v>
      </c>
      <c r="Y60" s="182">
        <f>IF(Z60=2,"M","")</f>
      </c>
      <c r="Z60" s="175">
        <f>IF(AND(V60+X60=3),2,0)</f>
        <v>0</v>
      </c>
      <c r="AA60" s="175">
        <f>IF(Z60=2,0,"")</f>
      </c>
      <c r="AB60" s="175">
        <f>IF(Z60=2,1,"")</f>
      </c>
    </row>
    <row r="61" spans="2:28" ht="16.5" customHeight="1"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2"/>
      <c r="S61" s="207">
        <f>C61</f>
        <v>0</v>
      </c>
      <c r="T61" s="32" t="b">
        <v>0</v>
      </c>
      <c r="V61" s="182">
        <f>IF(T61,1,0)</f>
        <v>0</v>
      </c>
      <c r="W61" s="175"/>
      <c r="X61" s="175"/>
      <c r="Y61" s="175">
        <f>IF(Z61=2,"L","")</f>
      </c>
      <c r="Z61" s="175">
        <f>IF(T61=TRUE,2,0)</f>
        <v>0</v>
      </c>
      <c r="AA61" s="175">
        <f>IF(Z61=2,2,"")</f>
      </c>
      <c r="AB61" s="175">
        <f>IF(Z61=2,2,"")</f>
      </c>
    </row>
    <row r="62" spans="1:28" ht="18.75" customHeight="1">
      <c r="A62" s="32"/>
      <c r="B62" s="252" t="s">
        <v>128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128"/>
      <c r="N62" s="128"/>
      <c r="S62" s="207"/>
      <c r="V62" s="175"/>
      <c r="W62" s="175"/>
      <c r="X62" s="175"/>
      <c r="Z62" s="175"/>
      <c r="AA62" s="175"/>
      <c r="AB62" s="175"/>
    </row>
    <row r="63" spans="2:28" ht="22.5" customHeight="1">
      <c r="B63" s="16">
        <v>19</v>
      </c>
      <c r="C63" s="194" t="s">
        <v>129</v>
      </c>
      <c r="D63" s="274" t="s">
        <v>130</v>
      </c>
      <c r="E63" s="274"/>
      <c r="F63" s="24"/>
      <c r="G63" s="24"/>
      <c r="H63" s="24"/>
      <c r="I63" s="88">
        <f>Y63</f>
      </c>
      <c r="J63" s="60">
        <f>AA63</f>
      </c>
      <c r="K63" s="60">
        <f>AB63</f>
      </c>
      <c r="L63" s="110"/>
      <c r="M63" s="144"/>
      <c r="N63" s="145"/>
      <c r="O63" s="179"/>
      <c r="P63" s="179"/>
      <c r="Q63" s="179"/>
      <c r="S63" s="181" t="str">
        <f>D63</f>
        <v>Projektinis darbas(tik 3-ioje klasėje)</v>
      </c>
      <c r="T63" s="32" t="b">
        <v>0</v>
      </c>
      <c r="V63" s="175">
        <f>IF(AND(T63,X63=1),1,0)</f>
        <v>0</v>
      </c>
      <c r="X63" s="182">
        <v>1</v>
      </c>
      <c r="Y63" s="182">
        <f>IF(Z63=2,"","")</f>
      </c>
      <c r="Z63" s="175">
        <f>IF(AND(V63+X63=2),2,0)</f>
        <v>0</v>
      </c>
      <c r="AA63" s="175">
        <f>IF(Z63=2,1,"")</f>
      </c>
      <c r="AB63" s="175">
        <f>IF(Z63=2,0,"")</f>
      </c>
    </row>
    <row r="64" spans="2:28" ht="12.75" customHeight="1">
      <c r="B64" s="35"/>
      <c r="C64" s="36"/>
      <c r="D64" s="70"/>
      <c r="E64" s="70"/>
      <c r="F64" s="71"/>
      <c r="G64" s="71"/>
      <c r="H64" s="71"/>
      <c r="I64" s="72"/>
      <c r="J64" s="73"/>
      <c r="K64" s="73"/>
      <c r="L64" s="74"/>
      <c r="M64" s="144"/>
      <c r="N64" s="145"/>
      <c r="O64" s="131"/>
      <c r="P64" s="131"/>
      <c r="Q64" s="131"/>
      <c r="S64" s="181"/>
      <c r="V64" s="175"/>
      <c r="X64" s="182"/>
      <c r="Y64" s="182"/>
      <c r="Z64" s="175"/>
      <c r="AA64" s="175"/>
      <c r="AB64" s="175"/>
    </row>
    <row r="65" spans="3:20" ht="15.75">
      <c r="C65" s="41" t="s">
        <v>0</v>
      </c>
      <c r="D65" s="1">
        <f>T65</f>
        <v>0</v>
      </c>
      <c r="E65" s="42" t="str">
        <f>IF(D65&gt;7,"","Dalykų turi būti ne mažiau kaip 8")</f>
        <v>Dalykų turi būti ne mažiau kaip 8</v>
      </c>
      <c r="F65" s="43"/>
      <c r="G65" s="43"/>
      <c r="H65" s="43"/>
      <c r="I65" s="43"/>
      <c r="J65" s="43"/>
      <c r="K65" s="43"/>
      <c r="L65" s="43"/>
      <c r="M65" s="146"/>
      <c r="N65" s="147"/>
      <c r="O65" s="147"/>
      <c r="S65" s="209" t="s">
        <v>0</v>
      </c>
      <c r="T65" s="175">
        <f>COUNTIF(Y13:Y45,"B")+COUNTIF(Y13:Y47,"A")+COUNTIF(Y13:Y54,"L")+COUNTIF(Y54:Y54,"P")+COUNTIF(Y54:Y54,"A1")</f>
        <v>0</v>
      </c>
    </row>
    <row r="66" spans="3:20" ht="9" customHeight="1">
      <c r="C66" s="44"/>
      <c r="D66" s="3"/>
      <c r="E66" s="45"/>
      <c r="F66" s="46"/>
      <c r="G66" s="46"/>
      <c r="H66" s="46"/>
      <c r="J66" s="46"/>
      <c r="K66" s="46"/>
      <c r="L66" s="46"/>
      <c r="M66" s="148"/>
      <c r="S66" s="32"/>
      <c r="T66" s="175"/>
    </row>
    <row r="67" spans="1:20" ht="27" customHeight="1">
      <c r="A67" s="254" t="s">
        <v>125</v>
      </c>
      <c r="B67" s="254"/>
      <c r="C67" s="255"/>
      <c r="D67" s="1">
        <f>T67</f>
        <v>0</v>
      </c>
      <c r="E67" s="43" t="str">
        <f>IF((D67&lt;=34)*(D67&gt;=28),"","Pamokų turi būti ne mažiau kaip 28 ir ne daugiau kaip 35")</f>
        <v>Pamokų turi būti ne mažiau kaip 28 ir ne daugiau kaip 35</v>
      </c>
      <c r="F67" s="47"/>
      <c r="G67" s="47"/>
      <c r="H67" s="47"/>
      <c r="J67" s="47"/>
      <c r="K67" s="47"/>
      <c r="L67" s="47"/>
      <c r="M67" s="148"/>
      <c r="S67" s="209" t="s">
        <v>1</v>
      </c>
      <c r="T67" s="175">
        <f>SUM(AA13:AA63)</f>
        <v>0</v>
      </c>
    </row>
    <row r="68" spans="3:20" ht="9" customHeight="1">
      <c r="C68" s="44"/>
      <c r="D68" s="3"/>
      <c r="E68" s="45"/>
      <c r="F68" s="46"/>
      <c r="G68" s="46"/>
      <c r="H68" s="46"/>
      <c r="J68" s="46"/>
      <c r="K68" s="46"/>
      <c r="L68" s="46"/>
      <c r="M68" s="148"/>
      <c r="S68" s="209"/>
      <c r="T68" s="175"/>
    </row>
    <row r="69" spans="1:20" ht="27" customHeight="1">
      <c r="A69" s="254" t="s">
        <v>126</v>
      </c>
      <c r="B69" s="254"/>
      <c r="C69" s="255"/>
      <c r="D69" s="1">
        <f>T69</f>
        <v>0</v>
      </c>
      <c r="E69" s="43" t="str">
        <f>IF((D69&lt;=35)*(D69&gt;=28),"","Pamokų turi būti ne mažiau kaip 28 ir ne daugiau kaip 35")</f>
        <v>Pamokų turi būti ne mažiau kaip 28 ir ne daugiau kaip 35</v>
      </c>
      <c r="F69" s="47"/>
      <c r="G69" s="47"/>
      <c r="H69" s="47"/>
      <c r="J69" s="47"/>
      <c r="K69" s="47"/>
      <c r="L69" s="47"/>
      <c r="M69" s="148"/>
      <c r="S69" s="209" t="s">
        <v>3</v>
      </c>
      <c r="T69" s="175">
        <f>SUM(AB13:AB63)</f>
        <v>0</v>
      </c>
    </row>
    <row r="70" spans="3:19" ht="9" customHeight="1">
      <c r="C70" s="44"/>
      <c r="D70" s="3"/>
      <c r="E70" s="46"/>
      <c r="F70" s="46"/>
      <c r="G70" s="46"/>
      <c r="H70" s="46"/>
      <c r="J70" s="46"/>
      <c r="K70" s="46"/>
      <c r="L70" s="46"/>
      <c r="M70" s="148"/>
      <c r="S70" s="32"/>
    </row>
    <row r="71" spans="3:19" ht="15" customHeight="1">
      <c r="C71" s="41" t="s">
        <v>39</v>
      </c>
      <c r="D71" s="1">
        <f>COUNTIF(Y13:Y53,"A")</f>
        <v>0</v>
      </c>
      <c r="E71" s="46"/>
      <c r="F71" s="46"/>
      <c r="G71" s="46"/>
      <c r="H71" s="46"/>
      <c r="J71" s="46"/>
      <c r="K71" s="48"/>
      <c r="L71" s="46"/>
      <c r="M71" s="149"/>
      <c r="N71" s="150"/>
      <c r="S71" s="32"/>
    </row>
    <row r="72" spans="3:19" ht="9" customHeight="1">
      <c r="C72" s="44"/>
      <c r="D72" s="3"/>
      <c r="E72" s="46"/>
      <c r="F72" s="46"/>
      <c r="G72" s="46"/>
      <c r="H72" s="46"/>
      <c r="J72" s="46"/>
      <c r="K72" s="46"/>
      <c r="L72" s="46"/>
      <c r="M72" s="148"/>
      <c r="S72" s="32"/>
    </row>
    <row r="73" spans="3:19" ht="15" customHeight="1">
      <c r="C73" s="41" t="s">
        <v>40</v>
      </c>
      <c r="D73" s="1">
        <f>COUNTIF(Y13:Y53,"B")</f>
        <v>0</v>
      </c>
      <c r="E73" s="46"/>
      <c r="F73" s="46"/>
      <c r="G73" s="46"/>
      <c r="H73" s="46"/>
      <c r="J73" s="46"/>
      <c r="K73" s="48"/>
      <c r="L73" s="46"/>
      <c r="M73" s="149"/>
      <c r="N73" s="150"/>
      <c r="S73" s="32"/>
    </row>
    <row r="74" spans="3:19" ht="15" customHeight="1">
      <c r="C74" s="41"/>
      <c r="D74" s="49"/>
      <c r="E74" s="46"/>
      <c r="F74" s="46"/>
      <c r="G74" s="46"/>
      <c r="H74" s="46"/>
      <c r="J74" s="46"/>
      <c r="K74" s="48"/>
      <c r="L74" s="46"/>
      <c r="M74" s="149"/>
      <c r="N74" s="150"/>
      <c r="S74" s="32"/>
    </row>
    <row r="75" spans="3:19" ht="15.75">
      <c r="C75" s="50">
        <f ca="1">TODAY()</f>
        <v>44664</v>
      </c>
      <c r="E75" s="51"/>
      <c r="H75" s="277"/>
      <c r="I75" s="277"/>
      <c r="J75" s="277"/>
      <c r="K75" s="277"/>
      <c r="L75" s="277"/>
      <c r="M75" s="277"/>
      <c r="S75" s="207"/>
    </row>
    <row r="76" spans="3:19" ht="15.75">
      <c r="C76" s="34" t="s">
        <v>41</v>
      </c>
      <c r="E76" s="34" t="s">
        <v>76</v>
      </c>
      <c r="H76" s="276" t="s">
        <v>86</v>
      </c>
      <c r="I76" s="276"/>
      <c r="J76" s="276"/>
      <c r="K76" s="276"/>
      <c r="L76" s="276"/>
      <c r="M76" s="276"/>
      <c r="S76" s="207"/>
    </row>
    <row r="77" spans="1:19" ht="15.75">
      <c r="A77" s="33"/>
      <c r="B77" s="51"/>
      <c r="C77" s="52"/>
      <c r="D77" s="51"/>
      <c r="E77" s="33"/>
      <c r="F77" s="33"/>
      <c r="G77" s="33"/>
      <c r="H77" s="33"/>
      <c r="I77" s="33"/>
      <c r="J77" s="33"/>
      <c r="K77" s="33"/>
      <c r="L77" s="33"/>
      <c r="M77" s="148"/>
      <c r="S77" s="207"/>
    </row>
    <row r="78" spans="1:59" s="166" customFormat="1" ht="10.5">
      <c r="A78" s="82"/>
      <c r="B78" s="82" t="s">
        <v>75</v>
      </c>
      <c r="C78" s="83"/>
      <c r="D78" s="82"/>
      <c r="E78" s="82"/>
      <c r="F78" s="82"/>
      <c r="G78" s="82"/>
      <c r="H78" s="82"/>
      <c r="I78" s="82"/>
      <c r="J78" s="82"/>
      <c r="K78" s="82"/>
      <c r="L78" s="82"/>
      <c r="M78" s="151"/>
      <c r="N78" s="152"/>
      <c r="O78" s="153"/>
      <c r="P78" s="153"/>
      <c r="Q78" s="153"/>
      <c r="R78" s="165"/>
      <c r="S78" s="210"/>
      <c r="T78" s="176"/>
      <c r="U78" s="176"/>
      <c r="V78" s="176"/>
      <c r="W78" s="176"/>
      <c r="X78" s="176"/>
      <c r="Y78" s="211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</row>
    <row r="79" spans="2:19" ht="6" customHeight="1" thickBo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154"/>
      <c r="N79" s="155"/>
      <c r="O79" s="150"/>
      <c r="P79" s="150"/>
      <c r="Q79" s="150"/>
      <c r="R79" s="167"/>
      <c r="S79" s="207"/>
    </row>
    <row r="80" spans="1:59" s="169" customFormat="1" ht="12.75" thickTop="1">
      <c r="A80" s="251" t="s">
        <v>143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156"/>
      <c r="O80" s="157"/>
      <c r="P80" s="157"/>
      <c r="Q80" s="157"/>
      <c r="R80" s="168"/>
      <c r="S80" s="181"/>
      <c r="T80" s="177"/>
      <c r="U80" s="177"/>
      <c r="V80" s="177"/>
      <c r="W80" s="177"/>
      <c r="X80" s="177"/>
      <c r="Y80" s="212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ht="15.75" hidden="1">
      <c r="S81" s="207"/>
    </row>
    <row r="82" ht="15.75" hidden="1">
      <c r="S82" s="207"/>
    </row>
    <row r="83" ht="15.75" hidden="1">
      <c r="S83" s="207"/>
    </row>
    <row r="84" ht="15.75" hidden="1">
      <c r="S84" s="207"/>
    </row>
    <row r="85" ht="15.75" hidden="1">
      <c r="S85" s="207"/>
    </row>
    <row r="86" ht="15.75" hidden="1">
      <c r="S86" s="207"/>
    </row>
    <row r="87" ht="15.75" hidden="1">
      <c r="S87" s="207"/>
    </row>
    <row r="88" ht="15.75" hidden="1">
      <c r="S88" s="207"/>
    </row>
    <row r="89" ht="15.75" hidden="1">
      <c r="S89" s="207"/>
    </row>
    <row r="90" ht="15.75" hidden="1">
      <c r="S90" s="207"/>
    </row>
    <row r="91" ht="15.75" hidden="1">
      <c r="S91" s="207"/>
    </row>
    <row r="92" ht="15.75" hidden="1">
      <c r="S92" s="207"/>
    </row>
    <row r="93" ht="15.75" hidden="1">
      <c r="S93" s="207"/>
    </row>
    <row r="94" ht="15.75" hidden="1">
      <c r="S94" s="207"/>
    </row>
    <row r="95" ht="15.75" hidden="1">
      <c r="S95" s="207"/>
    </row>
    <row r="96" ht="15.75" hidden="1">
      <c r="S96" s="207"/>
    </row>
    <row r="97" ht="15.75" hidden="1">
      <c r="S97" s="207"/>
    </row>
    <row r="98" ht="15.75" hidden="1">
      <c r="S98" s="207"/>
    </row>
    <row r="99" ht="15.75" hidden="1">
      <c r="S99" s="207"/>
    </row>
    <row r="100" ht="15.75" hidden="1">
      <c r="S100" s="207"/>
    </row>
    <row r="101" ht="15.75" hidden="1">
      <c r="S101" s="207"/>
    </row>
    <row r="102" ht="15.75" hidden="1">
      <c r="S102" s="207"/>
    </row>
    <row r="103" ht="15.75" hidden="1">
      <c r="S103" s="207"/>
    </row>
    <row r="104" ht="15.75" hidden="1">
      <c r="S104" s="207"/>
    </row>
    <row r="105" ht="15.75" hidden="1">
      <c r="S105" s="207"/>
    </row>
    <row r="106" ht="15.75" hidden="1">
      <c r="S106" s="207"/>
    </row>
    <row r="107" ht="15.75" hidden="1">
      <c r="S107" s="207"/>
    </row>
    <row r="108" ht="15.75" hidden="1">
      <c r="S108" s="207"/>
    </row>
    <row r="109" ht="15.75" hidden="1">
      <c r="S109" s="207"/>
    </row>
    <row r="110" ht="15.75" hidden="1">
      <c r="S110" s="207"/>
    </row>
    <row r="111" ht="15.75" hidden="1">
      <c r="S111" s="207"/>
    </row>
    <row r="112" ht="15.75" hidden="1">
      <c r="S112" s="207"/>
    </row>
    <row r="113" ht="15.75" hidden="1">
      <c r="S113" s="207"/>
    </row>
    <row r="114" ht="15.75" hidden="1">
      <c r="S114" s="207"/>
    </row>
    <row r="115" ht="15.75" hidden="1">
      <c r="S115" s="207"/>
    </row>
    <row r="116" ht="15.75" hidden="1">
      <c r="S116" s="207"/>
    </row>
    <row r="117" ht="15.75" hidden="1">
      <c r="S117" s="207"/>
    </row>
    <row r="118" ht="15.75" hidden="1">
      <c r="S118" s="207"/>
    </row>
    <row r="119" ht="15.75" hidden="1">
      <c r="S119" s="207"/>
    </row>
    <row r="120" ht="15.75" hidden="1">
      <c r="S120" s="207"/>
    </row>
    <row r="121" ht="15.75" hidden="1">
      <c r="S121" s="207"/>
    </row>
    <row r="122" ht="15.75" hidden="1">
      <c r="S122" s="207"/>
    </row>
    <row r="123" ht="15.75" hidden="1">
      <c r="S123" s="207"/>
    </row>
    <row r="124" ht="15.75" hidden="1">
      <c r="S124" s="207"/>
    </row>
    <row r="125" ht="15.75" hidden="1">
      <c r="S125" s="207"/>
    </row>
    <row r="126" ht="15.75" hidden="1">
      <c r="S126" s="207"/>
    </row>
    <row r="127" ht="15.75" hidden="1">
      <c r="S127" s="207"/>
    </row>
    <row r="128" ht="15.75" hidden="1">
      <c r="S128" s="207"/>
    </row>
    <row r="129" ht="15.75" hidden="1">
      <c r="S129" s="207"/>
    </row>
    <row r="130" ht="15.75" hidden="1">
      <c r="S130" s="207"/>
    </row>
    <row r="131" ht="15.75" hidden="1">
      <c r="S131" s="207"/>
    </row>
    <row r="132" ht="15.75" hidden="1">
      <c r="S132" s="207"/>
    </row>
    <row r="133" ht="15.75" hidden="1">
      <c r="S133" s="207"/>
    </row>
    <row r="134" ht="15.75" hidden="1">
      <c r="S134" s="207"/>
    </row>
    <row r="135" ht="15.75" hidden="1">
      <c r="S135" s="207"/>
    </row>
    <row r="136" ht="15.75" hidden="1">
      <c r="S136" s="207"/>
    </row>
    <row r="137" ht="15.75" hidden="1">
      <c r="S137" s="207"/>
    </row>
    <row r="138" ht="15.75" hidden="1">
      <c r="S138" s="207"/>
    </row>
    <row r="139" ht="15.75" hidden="1">
      <c r="S139" s="207"/>
    </row>
    <row r="140" ht="15.75" hidden="1">
      <c r="S140" s="207"/>
    </row>
    <row r="141" ht="15.75" hidden="1">
      <c r="S141" s="207"/>
    </row>
    <row r="142" ht="15.75" hidden="1">
      <c r="S142" s="207"/>
    </row>
    <row r="143" ht="15.75" hidden="1">
      <c r="S143" s="207"/>
    </row>
    <row r="144" ht="15.75" hidden="1">
      <c r="S144" s="207"/>
    </row>
    <row r="145" ht="15.75" hidden="1">
      <c r="S145" s="207"/>
    </row>
    <row r="146" ht="15.75" hidden="1">
      <c r="S146" s="207"/>
    </row>
    <row r="147" ht="15.75" hidden="1">
      <c r="S147" s="207"/>
    </row>
    <row r="148" ht="15.75" hidden="1">
      <c r="S148" s="207"/>
    </row>
    <row r="149" ht="15.75" hidden="1">
      <c r="S149" s="207"/>
    </row>
    <row r="150" ht="15.75" hidden="1">
      <c r="S150" s="207"/>
    </row>
    <row r="151" ht="15.75" hidden="1">
      <c r="S151" s="207"/>
    </row>
    <row r="152" ht="15.75" hidden="1">
      <c r="S152" s="207"/>
    </row>
    <row r="153" ht="15.75" hidden="1">
      <c r="S153" s="207"/>
    </row>
    <row r="154" ht="15.75" hidden="1">
      <c r="S154" s="207"/>
    </row>
    <row r="155" ht="15.75" hidden="1">
      <c r="S155" s="207"/>
    </row>
    <row r="156" ht="15.75" hidden="1">
      <c r="S156" s="207"/>
    </row>
    <row r="157" ht="15.75" hidden="1">
      <c r="S157" s="207"/>
    </row>
    <row r="158" ht="15.75" hidden="1">
      <c r="S158" s="207"/>
    </row>
    <row r="159" ht="15.75" hidden="1">
      <c r="S159" s="207"/>
    </row>
    <row r="160" ht="15.75" hidden="1">
      <c r="S160" s="207"/>
    </row>
    <row r="161" ht="15.75" hidden="1">
      <c r="S161" s="207"/>
    </row>
    <row r="162" ht="15.75" hidden="1">
      <c r="S162" s="207"/>
    </row>
    <row r="163" ht="15.75" hidden="1">
      <c r="S163" s="207"/>
    </row>
    <row r="164" ht="15.75" hidden="1">
      <c r="S164" s="207"/>
    </row>
    <row r="165" ht="15.75" hidden="1">
      <c r="S165" s="207"/>
    </row>
    <row r="166" ht="15.75" hidden="1">
      <c r="S166" s="207"/>
    </row>
    <row r="167" ht="15.75" hidden="1">
      <c r="S167" s="207"/>
    </row>
    <row r="168" ht="15.75" hidden="1">
      <c r="S168" s="207"/>
    </row>
    <row r="169" ht="15.75" hidden="1">
      <c r="S169" s="207"/>
    </row>
    <row r="170" ht="15.75" hidden="1">
      <c r="S170" s="207"/>
    </row>
    <row r="171" ht="15.75" hidden="1">
      <c r="S171" s="207"/>
    </row>
    <row r="172" ht="15.75" hidden="1">
      <c r="S172" s="207"/>
    </row>
    <row r="173" ht="15.75" hidden="1">
      <c r="S173" s="207"/>
    </row>
    <row r="174" ht="15.75" hidden="1">
      <c r="S174" s="207"/>
    </row>
    <row r="175" ht="15.75" hidden="1">
      <c r="S175" s="207"/>
    </row>
    <row r="176" ht="15.75" hidden="1">
      <c r="S176" s="207"/>
    </row>
    <row r="177" ht="15.75" hidden="1">
      <c r="S177" s="207"/>
    </row>
    <row r="178" ht="15.75" hidden="1">
      <c r="S178" s="207"/>
    </row>
    <row r="179" ht="15.75" hidden="1">
      <c r="S179" s="207"/>
    </row>
    <row r="180" ht="15.75" hidden="1">
      <c r="S180" s="207"/>
    </row>
    <row r="181" ht="15.75" hidden="1">
      <c r="S181" s="207"/>
    </row>
    <row r="182" ht="15.75" hidden="1">
      <c r="S182" s="207"/>
    </row>
    <row r="183" ht="15.75" hidden="1">
      <c r="S183" s="207"/>
    </row>
    <row r="184" ht="15.75" hidden="1">
      <c r="S184" s="207"/>
    </row>
    <row r="185" ht="15.75" hidden="1">
      <c r="S185" s="207"/>
    </row>
    <row r="186" ht="15.75" hidden="1">
      <c r="S186" s="207"/>
    </row>
    <row r="187" ht="15.75" hidden="1">
      <c r="S187" s="207"/>
    </row>
    <row r="188" ht="15.75" hidden="1">
      <c r="S188" s="207"/>
    </row>
    <row r="189" ht="15.75" hidden="1">
      <c r="S189" s="207"/>
    </row>
    <row r="190" ht="15.75" hidden="1">
      <c r="S190" s="207"/>
    </row>
    <row r="191" ht="15.75" hidden="1">
      <c r="S191" s="207"/>
    </row>
    <row r="192" ht="15.75" hidden="1">
      <c r="S192" s="207"/>
    </row>
    <row r="193" ht="15.75" hidden="1">
      <c r="S193" s="207"/>
    </row>
    <row r="194" ht="15.75" hidden="1">
      <c r="S194" s="207"/>
    </row>
    <row r="195" ht="15.75" hidden="1">
      <c r="S195" s="207"/>
    </row>
    <row r="196" ht="15.75" hidden="1">
      <c r="S196" s="207"/>
    </row>
    <row r="197" ht="15.75" hidden="1">
      <c r="S197" s="207"/>
    </row>
    <row r="198" ht="15.75" hidden="1">
      <c r="S198" s="207"/>
    </row>
    <row r="199" ht="15.75" hidden="1">
      <c r="S199" s="207"/>
    </row>
    <row r="200" ht="15.75" hidden="1">
      <c r="S200" s="207"/>
    </row>
    <row r="201" ht="15.75" hidden="1">
      <c r="S201" s="207"/>
    </row>
    <row r="202" ht="15.75" hidden="1">
      <c r="S202" s="207"/>
    </row>
    <row r="203" ht="15.75" hidden="1">
      <c r="S203" s="207"/>
    </row>
    <row r="204" ht="15.75" hidden="1">
      <c r="S204" s="207"/>
    </row>
    <row r="205" ht="15.75" hidden="1">
      <c r="S205" s="207"/>
    </row>
    <row r="206" ht="15.75" hidden="1">
      <c r="S206" s="207"/>
    </row>
    <row r="207" ht="15.75" hidden="1">
      <c r="S207" s="207"/>
    </row>
    <row r="208" ht="15.75" hidden="1">
      <c r="S208" s="207"/>
    </row>
    <row r="209" ht="15.75" hidden="1">
      <c r="S209" s="207"/>
    </row>
    <row r="210" ht="15.75" hidden="1">
      <c r="S210" s="207"/>
    </row>
    <row r="211" ht="15.75" hidden="1">
      <c r="S211" s="207"/>
    </row>
    <row r="212" ht="15.75" hidden="1">
      <c r="S212" s="207"/>
    </row>
    <row r="213" ht="15.75" hidden="1">
      <c r="S213" s="207"/>
    </row>
    <row r="214" ht="15.75" hidden="1">
      <c r="S214" s="207"/>
    </row>
    <row r="215" ht="15.75" hidden="1">
      <c r="S215" s="207"/>
    </row>
    <row r="216" ht="15.75" hidden="1">
      <c r="S216" s="207"/>
    </row>
    <row r="217" ht="15.75" hidden="1">
      <c r="S217" s="207"/>
    </row>
    <row r="218" ht="15.75" hidden="1">
      <c r="S218" s="207"/>
    </row>
    <row r="219" ht="15.75" hidden="1">
      <c r="S219" s="207"/>
    </row>
    <row r="220" ht="15.75" hidden="1">
      <c r="S220" s="207"/>
    </row>
    <row r="221" ht="15.75" hidden="1">
      <c r="S221" s="207"/>
    </row>
    <row r="222" ht="15.75" hidden="1">
      <c r="S222" s="207"/>
    </row>
    <row r="223" ht="15.75" hidden="1">
      <c r="S223" s="207"/>
    </row>
    <row r="224" ht="15.75" hidden="1">
      <c r="S224" s="207"/>
    </row>
    <row r="225" ht="15.75" hidden="1">
      <c r="S225" s="207"/>
    </row>
    <row r="226" ht="15.75" hidden="1">
      <c r="S226" s="207"/>
    </row>
    <row r="227" ht="15.75" hidden="1">
      <c r="S227" s="207"/>
    </row>
    <row r="228" ht="15.75" hidden="1">
      <c r="S228" s="207"/>
    </row>
    <row r="229" ht="15.75" hidden="1">
      <c r="S229" s="207"/>
    </row>
    <row r="230" ht="15.75" hidden="1">
      <c r="S230" s="207"/>
    </row>
    <row r="231" ht="15.75" hidden="1">
      <c r="S231" s="207"/>
    </row>
    <row r="232" ht="15.75" hidden="1">
      <c r="S232" s="207"/>
    </row>
    <row r="233" ht="15.75" hidden="1">
      <c r="S233" s="207"/>
    </row>
    <row r="234" ht="15.75" hidden="1">
      <c r="S234" s="207"/>
    </row>
    <row r="235" ht="15.75" hidden="1">
      <c r="S235" s="207"/>
    </row>
    <row r="236" ht="15.75" hidden="1">
      <c r="S236" s="207"/>
    </row>
    <row r="237" ht="15.75" hidden="1">
      <c r="S237" s="207"/>
    </row>
    <row r="238" ht="15.75" hidden="1">
      <c r="S238" s="207"/>
    </row>
    <row r="241" ht="15.75"/>
    <row r="242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</sheetData>
  <sheetProtection selectLockedCells="1"/>
  <protectedRanges>
    <protectedRange sqref="I60:K60 I63:K64 I56:I59 K56:K59 I37:K53 I13:K33" name="Diapazonas3"/>
    <protectedRange sqref="D5:E5 J5:N5 J7:K7" name="Diapazonas1"/>
    <protectedRange sqref="Y45:AB47 S45:U47 S52:U53 Y52:AB53 S54:AB64 S48:AB51 S13:AB44" name="Diapazonas4"/>
    <protectedRange sqref="V45:V47 V52:V53" name="Diapazonas4_1"/>
    <protectedRange sqref="W45:W47 W52:W53" name="Diapazonas4_2"/>
    <protectedRange sqref="X45:X47 X52:X53" name="Diapazonas4_3"/>
  </protectedRanges>
  <mergeCells count="133">
    <mergeCell ref="B61:M61"/>
    <mergeCell ref="B62:L62"/>
    <mergeCell ref="D52:E52"/>
    <mergeCell ref="B52:B53"/>
    <mergeCell ref="C52:C53"/>
    <mergeCell ref="O52:Q53"/>
    <mergeCell ref="D56:E56"/>
    <mergeCell ref="D60:E60"/>
    <mergeCell ref="D51:E51"/>
    <mergeCell ref="D50:E50"/>
    <mergeCell ref="L50:M50"/>
    <mergeCell ref="X52:X53"/>
    <mergeCell ref="D53:E53"/>
    <mergeCell ref="B54:M54"/>
    <mergeCell ref="D33:E33"/>
    <mergeCell ref="D31:E31"/>
    <mergeCell ref="D39:E39"/>
    <mergeCell ref="B45:B47"/>
    <mergeCell ref="D42:E42"/>
    <mergeCell ref="D41:E41"/>
    <mergeCell ref="B40:B44"/>
    <mergeCell ref="C40:C44"/>
    <mergeCell ref="B34:M34"/>
    <mergeCell ref="D43:E43"/>
    <mergeCell ref="D44:E44"/>
    <mergeCell ref="L39:M39"/>
    <mergeCell ref="A69:C69"/>
    <mergeCell ref="H76:M76"/>
    <mergeCell ref="H75:M75"/>
    <mergeCell ref="L42:M42"/>
    <mergeCell ref="D63:E63"/>
    <mergeCell ref="B48:B51"/>
    <mergeCell ref="L40:M40"/>
    <mergeCell ref="D46:E46"/>
    <mergeCell ref="C45:C47"/>
    <mergeCell ref="O48:Q51"/>
    <mergeCell ref="O58:Q58"/>
    <mergeCell ref="D59:E59"/>
    <mergeCell ref="B55:L55"/>
    <mergeCell ref="C48:C51"/>
    <mergeCell ref="D48:E48"/>
    <mergeCell ref="D49:E49"/>
    <mergeCell ref="L49:M49"/>
    <mergeCell ref="D57:E57"/>
    <mergeCell ref="O20:Q22"/>
    <mergeCell ref="O40:Q44"/>
    <mergeCell ref="L44:M44"/>
    <mergeCell ref="O57:Q57"/>
    <mergeCell ref="O60:Q60"/>
    <mergeCell ref="O56:Q56"/>
    <mergeCell ref="O59:Q59"/>
    <mergeCell ref="L41:M41"/>
    <mergeCell ref="L38:M38"/>
    <mergeCell ref="X45:X47"/>
    <mergeCell ref="C20:C22"/>
    <mergeCell ref="O37:Q39"/>
    <mergeCell ref="O23:Q30"/>
    <mergeCell ref="O31:Q33"/>
    <mergeCell ref="W45:W47"/>
    <mergeCell ref="O45:Q47"/>
    <mergeCell ref="C23:C30"/>
    <mergeCell ref="L37:M37"/>
    <mergeCell ref="D26:E26"/>
    <mergeCell ref="A80:M80"/>
    <mergeCell ref="B36:M36"/>
    <mergeCell ref="D58:E58"/>
    <mergeCell ref="A67:C67"/>
    <mergeCell ref="B37:B39"/>
    <mergeCell ref="D47:E47"/>
    <mergeCell ref="D45:E45"/>
    <mergeCell ref="D37:E37"/>
    <mergeCell ref="D40:E40"/>
    <mergeCell ref="D38:E38"/>
    <mergeCell ref="B20:B22"/>
    <mergeCell ref="I11:I12"/>
    <mergeCell ref="D11:E12"/>
    <mergeCell ref="A13:A33"/>
    <mergeCell ref="A2:M3"/>
    <mergeCell ref="I5:M5"/>
    <mergeCell ref="I7:M7"/>
    <mergeCell ref="C31:C33"/>
    <mergeCell ref="B17:B18"/>
    <mergeCell ref="C17:C18"/>
    <mergeCell ref="B31:B33"/>
    <mergeCell ref="B23:B30"/>
    <mergeCell ref="D24:E24"/>
    <mergeCell ref="D32:E32"/>
    <mergeCell ref="A1:M1"/>
    <mergeCell ref="B11:B12"/>
    <mergeCell ref="C11:C12"/>
    <mergeCell ref="F11:F12"/>
    <mergeCell ref="D5:E5"/>
    <mergeCell ref="D21:E21"/>
    <mergeCell ref="V11:V12"/>
    <mergeCell ref="T11:T12"/>
    <mergeCell ref="M11:M12"/>
    <mergeCell ref="G11:G12"/>
    <mergeCell ref="H11:H12"/>
    <mergeCell ref="J11:K11"/>
    <mergeCell ref="L11:L12"/>
    <mergeCell ref="O19:Q19"/>
    <mergeCell ref="O16:Q16"/>
    <mergeCell ref="O17:Q18"/>
    <mergeCell ref="B13:B14"/>
    <mergeCell ref="S11:S12"/>
    <mergeCell ref="U11:U12"/>
    <mergeCell ref="O15:Q15"/>
    <mergeCell ref="D18:E18"/>
    <mergeCell ref="D15:E15"/>
    <mergeCell ref="O13:Q14"/>
    <mergeCell ref="AB11:AB12"/>
    <mergeCell ref="W11:W12"/>
    <mergeCell ref="X11:X12"/>
    <mergeCell ref="Y11:Y12"/>
    <mergeCell ref="AA11:AA12"/>
    <mergeCell ref="Z11:Z12"/>
    <mergeCell ref="D13:E13"/>
    <mergeCell ref="D14:E14"/>
    <mergeCell ref="D16:E16"/>
    <mergeCell ref="D30:E30"/>
    <mergeCell ref="D27:E27"/>
    <mergeCell ref="D28:E28"/>
    <mergeCell ref="D29:E29"/>
    <mergeCell ref="C15:C16"/>
    <mergeCell ref="L43:M43"/>
    <mergeCell ref="D20:E20"/>
    <mergeCell ref="L48:M48"/>
    <mergeCell ref="L52:M52"/>
    <mergeCell ref="C13:C14"/>
    <mergeCell ref="C37:C39"/>
    <mergeCell ref="D25:E25"/>
    <mergeCell ref="D22:E22"/>
    <mergeCell ref="D23:E23"/>
  </mergeCells>
  <conditionalFormatting sqref="D13:D15 J37:K39 D17:D28 F13:H31 J33:K33 F33:H33 D33 J45:K47 J52:K52 J64:K64 J60:K60 K56:K59 D30:D31 J13:K31 I23:I30">
    <cfRule type="expression" priority="63" dxfId="2" stopIfTrue="1">
      <formula>$V13=1</formula>
    </cfRule>
  </conditionalFormatting>
  <conditionalFormatting sqref="D37:E39">
    <cfRule type="expression" priority="64" dxfId="4" stopIfTrue="1">
      <formula>$V37*$W37=1</formula>
    </cfRule>
  </conditionalFormatting>
  <conditionalFormatting sqref="Q3">
    <cfRule type="expression" priority="66" dxfId="69" stopIfTrue="1">
      <formula>P3&lt;8</formula>
    </cfRule>
  </conditionalFormatting>
  <conditionalFormatting sqref="Q7 Q5">
    <cfRule type="expression" priority="67" dxfId="69" stopIfTrue="1">
      <formula>OR(P5&lt;28,P5&gt;34)</formula>
    </cfRule>
  </conditionalFormatting>
  <conditionalFormatting sqref="D56 D57:E60 D64:E64">
    <cfRule type="expression" priority="69" dxfId="4" stopIfTrue="1">
      <formula>$Z56=2</formula>
    </cfRule>
  </conditionalFormatting>
  <conditionalFormatting sqref="E69 E65 E67">
    <cfRule type="expression" priority="70" dxfId="10" stopIfTrue="1">
      <formula>Anketa!#REF!=0</formula>
    </cfRule>
    <cfRule type="expression" priority="71" dxfId="36" stopIfTrue="1">
      <formula>Anketa!#REF!=1</formula>
    </cfRule>
  </conditionalFormatting>
  <conditionalFormatting sqref="D65 P3">
    <cfRule type="cellIs" priority="72" dxfId="60" operator="lessThan" stopIfTrue="1">
      <formula>8</formula>
    </cfRule>
  </conditionalFormatting>
  <conditionalFormatting sqref="D67 D69 P5 P7">
    <cfRule type="cellIs" priority="73" dxfId="60" operator="notBetween" stopIfTrue="1">
      <formula>28</formula>
      <formula>35</formula>
    </cfRule>
  </conditionalFormatting>
  <conditionalFormatting sqref="F64:H64 F56:H60">
    <cfRule type="expression" priority="74" dxfId="4" stopIfTrue="1">
      <formula>$V$37*$W$37=1</formula>
    </cfRule>
    <cfRule type="expression" priority="75" dxfId="10" stopIfTrue="1">
      <formula>$X$37=2</formula>
    </cfRule>
  </conditionalFormatting>
  <conditionalFormatting sqref="O31:R31 O33:R33">
    <cfRule type="cellIs" priority="77" dxfId="70" operator="equal" stopIfTrue="1">
      <formula>"Privaloma pasirinkti vieną kūno kultūros dalyką"</formula>
    </cfRule>
  </conditionalFormatting>
  <conditionalFormatting sqref="C31">
    <cfRule type="expression" priority="78" dxfId="10" stopIfTrue="1">
      <formula>$W$31=0</formula>
    </cfRule>
  </conditionalFormatting>
  <conditionalFormatting sqref="F37:H39 F44:H47 F51:H51">
    <cfRule type="expression" priority="79" dxfId="4" stopIfTrue="1">
      <formula>$V$37*$W$37=1</formula>
    </cfRule>
  </conditionalFormatting>
  <conditionalFormatting sqref="I17">
    <cfRule type="expression" priority="81" dxfId="4" stopIfTrue="1">
      <formula>$V$17=1</formula>
    </cfRule>
  </conditionalFormatting>
  <conditionalFormatting sqref="I18">
    <cfRule type="expression" priority="82" dxfId="4" stopIfTrue="1">
      <formula>$V$18=1</formula>
    </cfRule>
  </conditionalFormatting>
  <conditionalFormatting sqref="O17:R18">
    <cfRule type="cellIs" priority="83" dxfId="70" operator="equal" stopIfTrue="1">
      <formula>"Privaloma pasirinkti bent vieną iš visuomenės mokslų."</formula>
    </cfRule>
  </conditionalFormatting>
  <conditionalFormatting sqref="C17">
    <cfRule type="expression" priority="84" dxfId="10" stopIfTrue="1">
      <formula>$W$17=0</formula>
    </cfRule>
  </conditionalFormatting>
  <conditionalFormatting sqref="O19 R19">
    <cfRule type="cellIs" priority="85" dxfId="70" operator="equal" stopIfTrue="1">
      <formula>"Privaloma pasirinkti matematikos A arba B kursą"</formula>
    </cfRule>
  </conditionalFormatting>
  <conditionalFormatting sqref="C19">
    <cfRule type="expression" priority="86" dxfId="10" stopIfTrue="1">
      <formula>$V$19=0</formula>
    </cfRule>
  </conditionalFormatting>
  <conditionalFormatting sqref="O20:R22">
    <cfRule type="cellIs" priority="87" dxfId="70" operator="equal" stopIfTrue="1">
      <formula>"Privaloma pasirinkti bent vieną iš gamtos mokslų"</formula>
    </cfRule>
  </conditionalFormatting>
  <conditionalFormatting sqref="C20">
    <cfRule type="expression" priority="88" dxfId="10" stopIfTrue="1">
      <formula>$W$20=0</formula>
    </cfRule>
  </conditionalFormatting>
  <conditionalFormatting sqref="R23:R30">
    <cfRule type="cellIs" priority="89" dxfId="70" operator="equal" stopIfTrue="1">
      <formula>"Privaloma pasirinkti vieną menų arba technologijų dalyką"</formula>
    </cfRule>
  </conditionalFormatting>
  <conditionalFormatting sqref="I14">
    <cfRule type="expression" priority="90" dxfId="4" stopIfTrue="1">
      <formula>$V$14=1</formula>
    </cfRule>
  </conditionalFormatting>
  <conditionalFormatting sqref="I15">
    <cfRule type="expression" priority="91" dxfId="4" stopIfTrue="1">
      <formula>$V$15=1</formula>
    </cfRule>
  </conditionalFormatting>
  <conditionalFormatting sqref="I16">
    <cfRule type="expression" priority="92" dxfId="4" stopIfTrue="1">
      <formula>$V$16*$W$16=1</formula>
    </cfRule>
  </conditionalFormatting>
  <conditionalFormatting sqref="I13">
    <cfRule type="expression" priority="93" dxfId="2" stopIfTrue="1">
      <formula>$V$13=1</formula>
    </cfRule>
  </conditionalFormatting>
  <conditionalFormatting sqref="O13:R14">
    <cfRule type="cellIs" priority="94" dxfId="70" operator="equal" stopIfTrue="1">
      <formula>"Privaloma pasirinkti vieną dorinio ugdymo dalyką"</formula>
    </cfRule>
  </conditionalFormatting>
  <conditionalFormatting sqref="O15 R15">
    <cfRule type="cellIs" priority="95" dxfId="70" operator="equal" stopIfTrue="1">
      <formula>"Privaloma pasirinkti lietuvių k. B arba A kursą."</formula>
    </cfRule>
  </conditionalFormatting>
  <conditionalFormatting sqref="C15">
    <cfRule type="expression" priority="96" dxfId="10" stopIfTrue="1">
      <formula>$V$15=0</formula>
    </cfRule>
  </conditionalFormatting>
  <conditionalFormatting sqref="C13">
    <cfRule type="expression" priority="97" dxfId="10" stopIfTrue="1">
      <formula>$W$13=0</formula>
    </cfRule>
  </conditionalFormatting>
  <conditionalFormatting sqref="O16:R16">
    <cfRule type="cellIs" priority="99" dxfId="70" operator="equal" stopIfTrue="1">
      <formula>"Privaloma pasirinkti užsienio kalbą."</formula>
    </cfRule>
  </conditionalFormatting>
  <conditionalFormatting sqref="D7 D5">
    <cfRule type="cellIs" priority="102" dxfId="36" operator="equal" stopIfTrue="1">
      <formula>""</formula>
    </cfRule>
  </conditionalFormatting>
  <conditionalFormatting sqref="D45">
    <cfRule type="expression" priority="58" dxfId="4" stopIfTrue="1">
      <formula>$V45*$W45=1</formula>
    </cfRule>
  </conditionalFormatting>
  <conditionalFormatting sqref="O23">
    <cfRule type="cellIs" priority="53" dxfId="70" operator="equal" stopIfTrue="1">
      <formula>"Privaloma pasirinkti bent vieną iš menų ir technologijų mokslų"</formula>
    </cfRule>
  </conditionalFormatting>
  <conditionalFormatting sqref="D46:D47">
    <cfRule type="expression" priority="49" dxfId="4" stopIfTrue="1">
      <formula>$V46*$W$45=1</formula>
    </cfRule>
  </conditionalFormatting>
  <conditionalFormatting sqref="D16">
    <cfRule type="expression" priority="47" dxfId="2" stopIfTrue="1">
      <formula>$V16=1</formula>
    </cfRule>
  </conditionalFormatting>
  <conditionalFormatting sqref="I5:M5">
    <cfRule type="cellIs" priority="43" dxfId="30" operator="equal" stopIfTrue="1">
      <formula>""</formula>
    </cfRule>
  </conditionalFormatting>
  <conditionalFormatting sqref="I7:M7">
    <cfRule type="cellIs" priority="42" dxfId="30" operator="equal" stopIfTrue="1">
      <formula>""</formula>
    </cfRule>
  </conditionalFormatting>
  <conditionalFormatting sqref="C23">
    <cfRule type="expression" priority="137" dxfId="10" stopIfTrue="1">
      <formula>SUM(V23:V30)=0</formula>
    </cfRule>
  </conditionalFormatting>
  <conditionalFormatting sqref="J32:K32 F32:H32 D32">
    <cfRule type="expression" priority="33" dxfId="2" stopIfTrue="1">
      <formula>$V32=1</formula>
    </cfRule>
  </conditionalFormatting>
  <conditionalFormatting sqref="O32:R32">
    <cfRule type="cellIs" priority="34" dxfId="70" operator="equal" stopIfTrue="1">
      <formula>"Privaloma pasirinkti vieną kūno kultūros dalyką"</formula>
    </cfRule>
  </conditionalFormatting>
  <conditionalFormatting sqref="J40:K41 J44:K44">
    <cfRule type="expression" priority="28" dxfId="2" stopIfTrue="1">
      <formula>$V40=1</formula>
    </cfRule>
  </conditionalFormatting>
  <conditionalFormatting sqref="D40:E41 D44:E44">
    <cfRule type="expression" priority="29" dxfId="4" stopIfTrue="1">
      <formula>$V40*$W40=1</formula>
    </cfRule>
  </conditionalFormatting>
  <conditionalFormatting sqref="F40:H41">
    <cfRule type="expression" priority="30" dxfId="4" stopIfTrue="1">
      <formula>$V$37*$W$37=1</formula>
    </cfRule>
  </conditionalFormatting>
  <conditionalFormatting sqref="J42:K42">
    <cfRule type="expression" priority="25" dxfId="2" stopIfTrue="1">
      <formula>$V42=1</formula>
    </cfRule>
  </conditionalFormatting>
  <conditionalFormatting sqref="D42:E42">
    <cfRule type="expression" priority="26" dxfId="4" stopIfTrue="1">
      <formula>$V42*$W42=1</formula>
    </cfRule>
  </conditionalFormatting>
  <conditionalFormatting sqref="F42:H43">
    <cfRule type="expression" priority="27" dxfId="4" stopIfTrue="1">
      <formula>$V$37*$W$37=1</formula>
    </cfRule>
  </conditionalFormatting>
  <conditionalFormatting sqref="J48:K49 J51:K51">
    <cfRule type="expression" priority="22" dxfId="2" stopIfTrue="1">
      <formula>$V48=1</formula>
    </cfRule>
  </conditionalFormatting>
  <conditionalFormatting sqref="D48:E49">
    <cfRule type="expression" priority="23" dxfId="4" stopIfTrue="1">
      <formula>$V48*$W48=1</formula>
    </cfRule>
  </conditionalFormatting>
  <conditionalFormatting sqref="F48:H49">
    <cfRule type="expression" priority="24" dxfId="4" stopIfTrue="1">
      <formula>$V$37*$W$37=1</formula>
    </cfRule>
  </conditionalFormatting>
  <conditionalFormatting sqref="F52:H52">
    <cfRule type="expression" priority="18" dxfId="4" stopIfTrue="1">
      <formula>$V$37*$W$37=1</formula>
    </cfRule>
  </conditionalFormatting>
  <conditionalFormatting sqref="D52">
    <cfRule type="expression" priority="16" dxfId="4" stopIfTrue="1">
      <formula>$V52*$W52=1</formula>
    </cfRule>
  </conditionalFormatting>
  <conditionalFormatting sqref="J53:K53">
    <cfRule type="expression" priority="14" dxfId="2" stopIfTrue="1">
      <formula>$V53=1</formula>
    </cfRule>
  </conditionalFormatting>
  <conditionalFormatting sqref="F53:H53">
    <cfRule type="expression" priority="13" dxfId="4" stopIfTrue="1">
      <formula>$V$37*$W$37=1</formula>
    </cfRule>
  </conditionalFormatting>
  <conditionalFormatting sqref="D53">
    <cfRule type="expression" priority="12" dxfId="4" stopIfTrue="1">
      <formula>$V53*$W53=1</formula>
    </cfRule>
  </conditionalFormatting>
  <conditionalFormatting sqref="J63:K63">
    <cfRule type="expression" priority="9" dxfId="2" stopIfTrue="1">
      <formula>$V63=1</formula>
    </cfRule>
  </conditionalFormatting>
  <conditionalFormatting sqref="F63:H63">
    <cfRule type="expression" priority="10" dxfId="4" stopIfTrue="1">
      <formula>$V$37*$W$37=1</formula>
    </cfRule>
    <cfRule type="expression" priority="11" dxfId="10" stopIfTrue="1">
      <formula>$X$37=2</formula>
    </cfRule>
  </conditionalFormatting>
  <conditionalFormatting sqref="D63:E63">
    <cfRule type="expression" priority="8" dxfId="4" stopIfTrue="1">
      <formula>$Z63=2</formula>
    </cfRule>
  </conditionalFormatting>
  <conditionalFormatting sqref="J50:K50">
    <cfRule type="expression" priority="5" dxfId="2" stopIfTrue="1">
      <formula>$V50=1</formula>
    </cfRule>
  </conditionalFormatting>
  <conditionalFormatting sqref="D50:E50">
    <cfRule type="expression" priority="6" dxfId="4" stopIfTrue="1">
      <formula>$V50*$W50=1</formula>
    </cfRule>
  </conditionalFormatting>
  <conditionalFormatting sqref="F50:H50">
    <cfRule type="expression" priority="7" dxfId="4" stopIfTrue="1">
      <formula>$V$37*$W$37=1</formula>
    </cfRule>
  </conditionalFormatting>
  <conditionalFormatting sqref="D51:E51">
    <cfRule type="expression" priority="4" dxfId="4" stopIfTrue="1">
      <formula>$V51*$W51=1</formula>
    </cfRule>
  </conditionalFormatting>
  <conditionalFormatting sqref="D43:E43">
    <cfRule type="expression" priority="3" dxfId="4" stopIfTrue="1">
      <formula>$V43*$W43=1</formula>
    </cfRule>
  </conditionalFormatting>
  <conditionalFormatting sqref="J43:K43">
    <cfRule type="expression" priority="2" dxfId="2" stopIfTrue="1">
      <formula>$V43=1</formula>
    </cfRule>
  </conditionalFormatting>
  <conditionalFormatting sqref="D29">
    <cfRule type="expression" priority="1" dxfId="2" stopIfTrue="1">
      <formula>$V29=1</formula>
    </cfRule>
  </conditionalFormatting>
  <printOptions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"/>
  <sheetViews>
    <sheetView zoomScale="115" zoomScaleNormal="115" zoomScalePageLayoutView="0" workbookViewId="0" topLeftCell="A1">
      <selection activeCell="AN4" sqref="AN4"/>
    </sheetView>
  </sheetViews>
  <sheetFormatPr defaultColWidth="9.140625" defaultRowHeight="12.75"/>
  <cols>
    <col min="1" max="1" width="5.00390625" style="63" customWidth="1"/>
    <col min="2" max="2" width="21.00390625" style="63" customWidth="1"/>
    <col min="3" max="4" width="3.00390625" style="63" customWidth="1"/>
    <col min="5" max="7" width="3.00390625" style="63" bestFit="1" customWidth="1"/>
    <col min="8" max="8" width="3.00390625" style="63" customWidth="1"/>
    <col min="9" max="9" width="3.00390625" style="67" bestFit="1" customWidth="1"/>
    <col min="10" max="10" width="2.8515625" style="63" customWidth="1"/>
    <col min="11" max="25" width="3.00390625" style="63" bestFit="1" customWidth="1"/>
    <col min="26" max="28" width="4.28125" style="63" customWidth="1"/>
    <col min="29" max="29" width="3.00390625" style="63" bestFit="1" customWidth="1"/>
    <col min="30" max="36" width="3.00390625" style="63" customWidth="1"/>
    <col min="37" max="43" width="3.140625" style="63" customWidth="1"/>
    <col min="44" max="44" width="5.7109375" style="63" customWidth="1"/>
    <col min="45" max="45" width="5.140625" style="63" bestFit="1" customWidth="1"/>
    <col min="46" max="46" width="7.28125" style="63" bestFit="1" customWidth="1"/>
    <col min="47" max="47" width="6.00390625" style="63" customWidth="1"/>
    <col min="48" max="48" width="7.28125" style="63" bestFit="1" customWidth="1"/>
    <col min="49" max="49" width="3.140625" style="63" customWidth="1"/>
    <col min="50" max="50" width="4.57421875" style="63" customWidth="1"/>
    <col min="51" max="52" width="4.28125" style="63" customWidth="1"/>
    <col min="53" max="16384" width="9.140625" style="63" customWidth="1"/>
  </cols>
  <sheetData>
    <row r="1" spans="1:52" ht="13.5" customHeight="1">
      <c r="A1" s="301" t="s">
        <v>2</v>
      </c>
      <c r="B1" s="303" t="s">
        <v>45</v>
      </c>
      <c r="C1" s="301" t="s">
        <v>46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286" t="s">
        <v>94</v>
      </c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95"/>
      <c r="AS1" s="295"/>
      <c r="AT1" s="295"/>
      <c r="AU1" s="295"/>
      <c r="AV1" s="295"/>
      <c r="AW1" s="295"/>
      <c r="AX1" s="295"/>
      <c r="AY1" s="291" t="s">
        <v>47</v>
      </c>
      <c r="AZ1" s="288" t="s">
        <v>66</v>
      </c>
    </row>
    <row r="2" spans="1:52" ht="51" customHeight="1">
      <c r="A2" s="301"/>
      <c r="B2" s="303"/>
      <c r="C2" s="301" t="s">
        <v>74</v>
      </c>
      <c r="D2" s="301"/>
      <c r="E2" s="302" t="s">
        <v>85</v>
      </c>
      <c r="F2" s="302" t="s">
        <v>84</v>
      </c>
      <c r="G2" s="301" t="s">
        <v>69</v>
      </c>
      <c r="H2" s="301"/>
      <c r="I2" s="301"/>
      <c r="J2" s="301" t="s">
        <v>87</v>
      </c>
      <c r="K2" s="301"/>
      <c r="L2" s="301"/>
      <c r="M2" s="301"/>
      <c r="N2" s="302" t="s">
        <v>48</v>
      </c>
      <c r="O2" s="302" t="s">
        <v>89</v>
      </c>
      <c r="P2" s="301" t="s">
        <v>26</v>
      </c>
      <c r="Q2" s="301"/>
      <c r="R2" s="301"/>
      <c r="S2" s="301"/>
      <c r="T2" s="301"/>
      <c r="U2" s="301"/>
      <c r="V2" s="301" t="s">
        <v>30</v>
      </c>
      <c r="W2" s="301"/>
      <c r="X2" s="301"/>
      <c r="Y2" s="301"/>
      <c r="Z2" s="301"/>
      <c r="AA2" s="301"/>
      <c r="AB2" s="301"/>
      <c r="AC2" s="301" t="s">
        <v>34</v>
      </c>
      <c r="AD2" s="301"/>
      <c r="AE2" s="301" t="s">
        <v>70</v>
      </c>
      <c r="AF2" s="301"/>
      <c r="AG2" s="301"/>
      <c r="AH2" s="298" t="s">
        <v>49</v>
      </c>
      <c r="AI2" s="298" t="s">
        <v>72</v>
      </c>
      <c r="AJ2" s="298" t="s">
        <v>73</v>
      </c>
      <c r="AK2" s="294" t="s">
        <v>80</v>
      </c>
      <c r="AL2" s="296" t="s">
        <v>98</v>
      </c>
      <c r="AM2" s="296" t="s">
        <v>38</v>
      </c>
      <c r="AN2" s="304" t="s">
        <v>99</v>
      </c>
      <c r="AO2" s="299" t="s">
        <v>103</v>
      </c>
      <c r="AP2" s="299" t="s">
        <v>104</v>
      </c>
      <c r="AQ2" s="299" t="s">
        <v>105</v>
      </c>
      <c r="AR2" s="102" t="s">
        <v>23</v>
      </c>
      <c r="AS2" s="108" t="s">
        <v>25</v>
      </c>
      <c r="AT2" s="64" t="s">
        <v>27</v>
      </c>
      <c r="AU2" s="64" t="s">
        <v>29</v>
      </c>
      <c r="AV2" s="107" t="s">
        <v>28</v>
      </c>
      <c r="AW2" s="101" t="s">
        <v>50</v>
      </c>
      <c r="AX2" s="294" t="s">
        <v>100</v>
      </c>
      <c r="AY2" s="292"/>
      <c r="AZ2" s="289"/>
    </row>
    <row r="3" spans="1:52" s="67" customFormat="1" ht="112.5" customHeight="1">
      <c r="A3" s="301"/>
      <c r="B3" s="303"/>
      <c r="C3" s="87" t="s">
        <v>18</v>
      </c>
      <c r="D3" s="65" t="s">
        <v>20</v>
      </c>
      <c r="E3" s="302"/>
      <c r="F3" s="302"/>
      <c r="G3" s="65" t="s">
        <v>21</v>
      </c>
      <c r="H3" s="65" t="s">
        <v>37</v>
      </c>
      <c r="I3" s="65" t="s">
        <v>22</v>
      </c>
      <c r="J3" s="65" t="s">
        <v>51</v>
      </c>
      <c r="K3" s="65" t="s">
        <v>88</v>
      </c>
      <c r="L3" s="65" t="s">
        <v>52</v>
      </c>
      <c r="M3" s="65" t="s">
        <v>53</v>
      </c>
      <c r="N3" s="302"/>
      <c r="O3" s="302"/>
      <c r="P3" s="65" t="s">
        <v>54</v>
      </c>
      <c r="Q3" s="65" t="s">
        <v>55</v>
      </c>
      <c r="R3" s="65" t="s">
        <v>58</v>
      </c>
      <c r="S3" s="65" t="s">
        <v>59</v>
      </c>
      <c r="T3" s="65" t="s">
        <v>56</v>
      </c>
      <c r="U3" s="65" t="s">
        <v>57</v>
      </c>
      <c r="V3" s="65" t="s">
        <v>60</v>
      </c>
      <c r="W3" s="65" t="s">
        <v>61</v>
      </c>
      <c r="X3" s="65" t="s">
        <v>62</v>
      </c>
      <c r="Y3" s="65" t="s">
        <v>90</v>
      </c>
      <c r="Z3" s="65" t="s">
        <v>91</v>
      </c>
      <c r="AA3" s="65" t="s">
        <v>106</v>
      </c>
      <c r="AB3" s="65" t="s">
        <v>92</v>
      </c>
      <c r="AC3" s="65" t="s">
        <v>63</v>
      </c>
      <c r="AD3" s="65" t="s">
        <v>93</v>
      </c>
      <c r="AE3" s="65" t="s">
        <v>37</v>
      </c>
      <c r="AF3" s="65" t="s">
        <v>35</v>
      </c>
      <c r="AG3" s="65" t="s">
        <v>22</v>
      </c>
      <c r="AH3" s="298"/>
      <c r="AI3" s="298"/>
      <c r="AJ3" s="298"/>
      <c r="AK3" s="294"/>
      <c r="AL3" s="297"/>
      <c r="AM3" s="297"/>
      <c r="AN3" s="305"/>
      <c r="AO3" s="300"/>
      <c r="AP3" s="300"/>
      <c r="AQ3" s="300"/>
      <c r="AR3" s="65" t="s">
        <v>96</v>
      </c>
      <c r="AS3" s="66" t="s">
        <v>81</v>
      </c>
      <c r="AT3" s="65" t="s">
        <v>95</v>
      </c>
      <c r="AU3" s="65" t="s">
        <v>101</v>
      </c>
      <c r="AV3" s="66" t="s">
        <v>82</v>
      </c>
      <c r="AW3" s="65" t="s">
        <v>83</v>
      </c>
      <c r="AX3" s="294"/>
      <c r="AY3" s="293"/>
      <c r="AZ3" s="290"/>
    </row>
    <row r="4" spans="1:52" s="67" customFormat="1" ht="12.75">
      <c r="A4" s="109" t="str">
        <f>"2"&amp;LEFT(Anketa!D7,1)</f>
        <v>2</v>
      </c>
      <c r="B4" s="105" t="str">
        <f>Anketa!I5&amp;" "&amp;Anketa!D5</f>
        <v> </v>
      </c>
      <c r="C4" s="68">
        <f>Anketa!J13</f>
      </c>
      <c r="D4" s="68">
        <f>Anketa!J14</f>
      </c>
      <c r="E4" s="68">
        <f>IF(Anketa!T15,Anketa!J15,"")</f>
      </c>
      <c r="F4" s="68">
        <f>IF(Anketa!U15,Anketa!J15,"")</f>
      </c>
      <c r="G4" s="68">
        <f>Anketa!J16</f>
      </c>
      <c r="H4" s="68" t="e">
        <f>Anketa!#REF!</f>
        <v>#REF!</v>
      </c>
      <c r="I4" s="68" t="e">
        <f>Anketa!#REF!</f>
        <v>#REF!</v>
      </c>
      <c r="J4" s="68">
        <f>IF(Anketa!T17,Anketa!J17,"")</f>
      </c>
      <c r="K4" s="68">
        <f>IF(Anketa!U17,Anketa!J17,"")</f>
      </c>
      <c r="L4" s="68">
        <f>IF(Anketa!T18,Anketa!J18,"")</f>
      </c>
      <c r="M4" s="68">
        <f>IF(Anketa!U18,Anketa!J18,"")</f>
      </c>
      <c r="N4" s="68">
        <f>IF(Anketa!T19,Anketa!J19,"")</f>
      </c>
      <c r="O4" s="68">
        <f>IF(Anketa!U19,Anketa!J19,"")</f>
      </c>
      <c r="P4" s="68">
        <f>IF(Anketa!T20,Anketa!J20,"")</f>
      </c>
      <c r="Q4" s="68">
        <f>IF(Anketa!U20,Anketa!J20,"")</f>
      </c>
      <c r="R4" s="68">
        <f>IF(Anketa!T21,Anketa!J21,"")</f>
      </c>
      <c r="S4" s="68">
        <f>IF(Anketa!U21,Anketa!J21,"")</f>
      </c>
      <c r="T4" s="68">
        <f>IF(Anketa!T22,Anketa!J22,"")</f>
      </c>
      <c r="U4" s="68">
        <f>IF(Anketa!U22,Anketa!J22,"")</f>
      </c>
      <c r="V4" s="68">
        <f>IF(Anketa!T23,Anketa!J23,"")</f>
      </c>
      <c r="W4" s="68">
        <f>IF(Anketa!T24,Anketa!J24,"")</f>
      </c>
      <c r="X4" s="68">
        <f>IF(Anketa!T25,Anketa!J25,"")</f>
      </c>
      <c r="Y4" s="68">
        <f>Anketa!J26</f>
      </c>
      <c r="Z4" s="68">
        <f>Anketa!J27</f>
      </c>
      <c r="AA4" s="68">
        <f>Anketa!J28</f>
      </c>
      <c r="AB4" s="68">
        <f>Anketa!J30</f>
      </c>
      <c r="AC4" s="68">
        <f>Anketa!J31</f>
      </c>
      <c r="AD4" s="68">
        <f>Anketa!J33</f>
      </c>
      <c r="AE4" s="68">
        <f>IF(Anketa!U37,Anketa!J37,"")</f>
      </c>
      <c r="AF4" s="68">
        <f>IF(Anketa!U38,Anketa!J38,"")</f>
      </c>
      <c r="AG4" s="103">
        <f>IF(Anketa!U39,Anketa!J39,"")</f>
      </c>
      <c r="AH4" s="68">
        <f>IF(Anketa!T45,Anketa!J45,"")</f>
      </c>
      <c r="AI4" s="68">
        <f>IF(Anketa!U46,Anketa!J46,"")</f>
      </c>
      <c r="AJ4" s="68">
        <f>IF(Anketa!U47,Anketa!J47,"")</f>
      </c>
      <c r="AK4" s="68" t="e">
        <f>Anketa!#REF!</f>
        <v>#REF!</v>
      </c>
      <c r="AL4" s="68" t="e">
        <f>Anketa!#REF!</f>
        <v>#REF!</v>
      </c>
      <c r="AM4" s="68" t="e">
        <f>Anketa!#REF!</f>
        <v>#REF!</v>
      </c>
      <c r="AN4" s="68" t="e">
        <f>Anketa!#REF!</f>
        <v>#REF!</v>
      </c>
      <c r="AO4" s="68" t="e">
        <f>Anketa!#REF!</f>
        <v>#REF!</v>
      </c>
      <c r="AP4" s="68" t="e">
        <f>Anketa!#REF!</f>
        <v>#REF!</v>
      </c>
      <c r="AQ4" s="68">
        <f>Anketa!J54</f>
        <v>0</v>
      </c>
      <c r="AR4" s="68" t="e">
        <f>Anketa!#REF!</f>
        <v>#REF!</v>
      </c>
      <c r="AS4" s="68" t="str">
        <f>Anketa!J56</f>
        <v>–</v>
      </c>
      <c r="AT4" s="68" t="str">
        <f>Anketa!J57</f>
        <v>–</v>
      </c>
      <c r="AU4" s="68" t="str">
        <f>Anketa!J58</f>
        <v>–</v>
      </c>
      <c r="AV4" s="68" t="str">
        <f>Anketa!J59</f>
        <v>–</v>
      </c>
      <c r="AW4" s="68">
        <f>Anketa!J60</f>
        <v>0</v>
      </c>
      <c r="AX4" s="68" t="e">
        <f>Anketa!#REF!</f>
        <v>#REF!</v>
      </c>
      <c r="AY4" s="104" t="e">
        <f>SUM(C4:AX4)</f>
        <v>#REF!</v>
      </c>
      <c r="AZ4" s="103">
        <f>COUNT(C4:AM4)</f>
        <v>0</v>
      </c>
    </row>
  </sheetData>
  <sheetProtection/>
  <mergeCells count="29">
    <mergeCell ref="O2:O3"/>
    <mergeCell ref="A1:A3"/>
    <mergeCell ref="B1:B3"/>
    <mergeCell ref="V2:AB2"/>
    <mergeCell ref="AC2:AD2"/>
    <mergeCell ref="AN2:AN3"/>
    <mergeCell ref="C1:AD1"/>
    <mergeCell ref="N2:N3"/>
    <mergeCell ref="J2:M2"/>
    <mergeCell ref="F2:F3"/>
    <mergeCell ref="G2:I2"/>
    <mergeCell ref="AE2:AG2"/>
    <mergeCell ref="C2:D2"/>
    <mergeCell ref="AL2:AL3"/>
    <mergeCell ref="E2:E3"/>
    <mergeCell ref="AQ2:AQ3"/>
    <mergeCell ref="AO2:AO3"/>
    <mergeCell ref="AH2:AH3"/>
    <mergeCell ref="P2:U2"/>
    <mergeCell ref="AI2:AI3"/>
    <mergeCell ref="AE1:AQ1"/>
    <mergeCell ref="AZ1:AZ3"/>
    <mergeCell ref="AY1:AY3"/>
    <mergeCell ref="AX2:AX3"/>
    <mergeCell ref="AR1:AX1"/>
    <mergeCell ref="AM2:AM3"/>
    <mergeCell ref="AK2:AK3"/>
    <mergeCell ref="AJ2:AJ3"/>
    <mergeCell ref="AP2:AP3"/>
  </mergeCells>
  <conditionalFormatting sqref="AY4">
    <cfRule type="cellIs" priority="26" dxfId="0" operator="notBetween">
      <formula>28</formula>
      <formula>32</formula>
    </cfRule>
  </conditionalFormatting>
  <conditionalFormatting sqref="AZ4">
    <cfRule type="cellIs" priority="25" dxfId="0" operator="lessThan" stopIfTrue="1">
      <formula>9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KJPUG</dc:creator>
  <cp:keywords/>
  <dc:description/>
  <cp:lastModifiedBy>Mokytojas</cp:lastModifiedBy>
  <cp:lastPrinted>2020-09-25T07:37:58Z</cp:lastPrinted>
  <dcterms:created xsi:type="dcterms:W3CDTF">2010-02-12T08:48:25Z</dcterms:created>
  <dcterms:modified xsi:type="dcterms:W3CDTF">2022-04-13T09:08:58Z</dcterms:modified>
  <cp:category/>
  <cp:version/>
  <cp:contentType/>
  <cp:contentStatus/>
</cp:coreProperties>
</file>